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-my.sharepoint.com/personal/ctupoulahifusimalohi_consultant_adb_org/Documents/NIIPs comms/Palau NIIP/DESIGN VERSION_Sept2021/design versions/"/>
    </mc:Choice>
  </mc:AlternateContent>
  <xr:revisionPtr revIDLastSave="0" documentId="8_{4CA5CB83-A36A-48C2-ABF9-893928ECBCE2}" xr6:coauthVersionLast="47" xr6:coauthVersionMax="47" xr10:uidLastSave="{00000000-0000-0000-0000-000000000000}"/>
  <bookViews>
    <workbookView xWindow="-110" yWindow="-110" windowWidth="19420" windowHeight="10420" tabRatio="868" xr2:uid="{00000000-000D-0000-FFFF-FFFF00000000}"/>
  </bookViews>
  <sheets>
    <sheet name="Buildings - Govt" sheetId="1" r:id="rId1"/>
    <sheet name="Roads" sheetId="4" r:id="rId2"/>
    <sheet name="Airport runway &amp; taxiways" sheetId="5" r:id="rId3"/>
    <sheet name="Bridges " sheetId="7" r:id="rId4"/>
    <sheet name="Marine Ports, Wharfs or Jetties" sheetId="6" r:id="rId5"/>
    <sheet name="Sports Facilities" sheetId="32" r:id="rId6"/>
    <sheet name="Playground" sheetId="33" r:id="rId7"/>
    <sheet name="Coastal Protection" sheetId="24" r:id="rId8"/>
    <sheet name="Solid Waste Management" sheetId="23" r:id="rId9"/>
    <sheet name="Culverts" sheetId="10" r:id="rId10"/>
    <sheet name="Elec Fossil Fuel Generators" sheetId="8" r:id="rId11"/>
    <sheet name="Elec Solar Power Generation" sheetId="11" r:id="rId12"/>
    <sheet name="Elec Overhead Lines" sheetId="13" r:id="rId13"/>
    <sheet name="Elec - Power Transformers" sheetId="15" r:id="rId14"/>
    <sheet name="Elec - Switchgear" sheetId="16" r:id="rId15"/>
    <sheet name="Water Pumping Stations" sheetId="14" r:id="rId16"/>
    <sheet name="Water Pump Stns Kror and Arai" sheetId="17" r:id="rId17"/>
    <sheet name="Sewage Treatment Plant" sheetId="20" r:id="rId18"/>
    <sheet name="Telecom Towers" sheetId="25" r:id="rId19"/>
    <sheet name="Telecom Cables" sheetId="28" r:id="rId20"/>
    <sheet name="Telecom IDUs ODUS" sheetId="29" r:id="rId21"/>
    <sheet name="Asset Condition Ratings" sheetId="2" r:id="rId22"/>
    <sheet name="Asset Functional Ratings" sheetId="9" r:id="rId23"/>
    <sheet name="Validation Lists" sheetId="3" r:id="rId24"/>
  </sheets>
  <definedNames>
    <definedName name="_xlnm.Print_Area" localSheetId="2">'Airport runway &amp; taxiways'!$B$3:$T$9</definedName>
    <definedName name="_xlnm.Print_Area" localSheetId="3">'Bridges '!$B$2:$S$27</definedName>
    <definedName name="_xlnm.Print_Area" localSheetId="0">'Buildings - Govt'!$B$2:$AA$45</definedName>
    <definedName name="_xlnm.Print_Area" localSheetId="7">'Coastal Protection'!$B$2:$N$9</definedName>
    <definedName name="_xlnm.Print_Area" localSheetId="9">Culverts!$B$2:$O$9</definedName>
    <definedName name="_xlnm.Print_Area" localSheetId="4">'Marine Ports, Wharfs or Jetties'!$B$2:$R$18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6" l="1"/>
  <c r="M16" i="16"/>
  <c r="N14" i="16"/>
  <c r="N13" i="16"/>
  <c r="N12" i="16"/>
  <c r="N11" i="16"/>
  <c r="N10" i="16"/>
  <c r="N9" i="16"/>
  <c r="N8" i="16"/>
  <c r="N7" i="16"/>
  <c r="N6" i="16"/>
  <c r="M14" i="16"/>
  <c r="M13" i="16"/>
  <c r="M12" i="16"/>
  <c r="M11" i="16"/>
  <c r="M10" i="16"/>
  <c r="M9" i="16"/>
  <c r="M8" i="16"/>
  <c r="M7" i="16"/>
  <c r="M6" i="16"/>
  <c r="N18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M18" i="15"/>
  <c r="M16" i="15"/>
  <c r="M14" i="15"/>
  <c r="M11" i="15"/>
  <c r="M15" i="15"/>
  <c r="M13" i="15"/>
  <c r="M12" i="15"/>
  <c r="M10" i="15"/>
  <c r="M9" i="15"/>
  <c r="M8" i="15"/>
  <c r="M7" i="15"/>
  <c r="M6" i="15"/>
  <c r="M5" i="15"/>
  <c r="M4" i="15"/>
  <c r="R7" i="15"/>
  <c r="N26" i="13" l="1"/>
  <c r="M26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H18" i="13"/>
  <c r="H17" i="13"/>
  <c r="H14" i="13"/>
  <c r="H10" i="13"/>
  <c r="H8" i="13"/>
  <c r="H7" i="13"/>
  <c r="H6" i="13"/>
  <c r="P12" i="11"/>
  <c r="O12" i="11"/>
  <c r="O10" i="11"/>
  <c r="P10" i="11" s="1"/>
  <c r="O9" i="11"/>
  <c r="P9" i="11" s="1"/>
  <c r="O8" i="11"/>
  <c r="P8" i="11" s="1"/>
  <c r="O7" i="11"/>
  <c r="P7" i="11" s="1"/>
  <c r="O6" i="11"/>
  <c r="P6" i="11" s="1"/>
  <c r="O5" i="11"/>
  <c r="P5" i="11" s="1"/>
  <c r="P4" i="11"/>
  <c r="O4" i="11"/>
  <c r="Q15" i="8"/>
  <c r="Q14" i="8"/>
  <c r="Q13" i="8"/>
  <c r="Q12" i="8"/>
  <c r="Q11" i="8"/>
  <c r="Q10" i="8"/>
  <c r="Q9" i="8"/>
  <c r="Q8" i="8"/>
  <c r="Q7" i="8"/>
  <c r="Q6" i="8"/>
  <c r="Q5" i="8"/>
  <c r="P15" i="8"/>
  <c r="P14" i="8"/>
  <c r="P13" i="8"/>
  <c r="P12" i="8"/>
  <c r="P11" i="8"/>
  <c r="P10" i="8"/>
  <c r="P9" i="8"/>
  <c r="P8" i="8"/>
  <c r="P7" i="8"/>
  <c r="P6" i="8"/>
  <c r="P5" i="8"/>
  <c r="V8" i="8"/>
  <c r="R44" i="10" l="1"/>
  <c r="Q44" i="10"/>
  <c r="Q43" i="10"/>
  <c r="R43" i="10" s="1"/>
  <c r="Q42" i="10"/>
  <c r="R42" i="10" s="1"/>
  <c r="Q41" i="10"/>
  <c r="R41" i="10" s="1"/>
  <c r="Q40" i="10"/>
  <c r="R40" i="10" s="1"/>
  <c r="Q39" i="10"/>
  <c r="R39" i="10" s="1"/>
  <c r="Q38" i="10"/>
  <c r="R38" i="10" s="1"/>
  <c r="Q37" i="10"/>
  <c r="R37" i="10" s="1"/>
  <c r="Q36" i="10"/>
  <c r="R36" i="10" s="1"/>
  <c r="Q35" i="10"/>
  <c r="R35" i="10" s="1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6" i="10"/>
  <c r="R16" i="10" s="1"/>
  <c r="Q15" i="10"/>
  <c r="R15" i="10" s="1"/>
  <c r="Q14" i="10"/>
  <c r="R14" i="10" s="1"/>
  <c r="Q13" i="10"/>
  <c r="R13" i="10" s="1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R5" i="10"/>
  <c r="Q5" i="10"/>
  <c r="M7" i="23"/>
  <c r="P24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Q12" i="24"/>
  <c r="Q11" i="24"/>
  <c r="Q10" i="24"/>
  <c r="Q9" i="24"/>
  <c r="Q8" i="24"/>
  <c r="Q7" i="24"/>
  <c r="Q6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10" i="24"/>
  <c r="P9" i="24"/>
  <c r="P8" i="24"/>
  <c r="P7" i="24"/>
  <c r="P6" i="24"/>
  <c r="T12" i="32"/>
  <c r="R10" i="33"/>
  <c r="V45" i="6"/>
  <c r="U45" i="6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U31" i="6"/>
  <c r="V31" i="6" s="1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U14" i="6"/>
  <c r="V14" i="6" s="1"/>
  <c r="U13" i="6"/>
  <c r="V13" i="6" s="1"/>
  <c r="U12" i="6"/>
  <c r="V12" i="6" s="1"/>
  <c r="U11" i="6"/>
  <c r="V11" i="6" s="1"/>
  <c r="U10" i="6"/>
  <c r="V10" i="6" s="1"/>
  <c r="U9" i="6"/>
  <c r="V9" i="6" s="1"/>
  <c r="U8" i="6"/>
  <c r="V8" i="6" s="1"/>
  <c r="U7" i="6"/>
  <c r="V7" i="6" s="1"/>
  <c r="U6" i="6"/>
  <c r="V6" i="6" s="1"/>
  <c r="U5" i="6"/>
  <c r="V5" i="6" s="1"/>
  <c r="U4" i="6"/>
  <c r="V4" i="6" s="1"/>
  <c r="U29" i="7"/>
  <c r="V29" i="7" s="1"/>
  <c r="U28" i="7"/>
  <c r="V28" i="7" s="1"/>
  <c r="U27" i="7"/>
  <c r="V27" i="7" s="1"/>
  <c r="U26" i="7"/>
  <c r="V26" i="7" s="1"/>
  <c r="U25" i="7"/>
  <c r="V25" i="7" s="1"/>
  <c r="U24" i="7"/>
  <c r="V24" i="7" s="1"/>
  <c r="U23" i="7"/>
  <c r="V23" i="7" s="1"/>
  <c r="U22" i="7"/>
  <c r="V22" i="7" s="1"/>
  <c r="U21" i="7"/>
  <c r="V21" i="7" s="1"/>
  <c r="U20" i="7"/>
  <c r="V20" i="7" s="1"/>
  <c r="U19" i="7"/>
  <c r="V19" i="7" s="1"/>
  <c r="U18" i="7"/>
  <c r="V18" i="7" s="1"/>
  <c r="U17" i="7"/>
  <c r="V17" i="7" s="1"/>
  <c r="U16" i="7"/>
  <c r="V16" i="7" s="1"/>
  <c r="U15" i="7"/>
  <c r="V15" i="7" s="1"/>
  <c r="U14" i="7"/>
  <c r="V14" i="7" s="1"/>
  <c r="U13" i="7"/>
  <c r="V13" i="7" s="1"/>
  <c r="U12" i="7"/>
  <c r="V12" i="7" s="1"/>
  <c r="U11" i="7"/>
  <c r="V11" i="7" s="1"/>
  <c r="U10" i="7"/>
  <c r="V10" i="7" s="1"/>
  <c r="U9" i="7"/>
  <c r="V9" i="7" s="1"/>
  <c r="U8" i="7"/>
  <c r="V8" i="7" s="1"/>
  <c r="U7" i="7"/>
  <c r="V7" i="7" s="1"/>
  <c r="U6" i="7"/>
  <c r="U32" i="7" s="1"/>
  <c r="Y15" i="5"/>
  <c r="Y13" i="5"/>
  <c r="Y12" i="5"/>
  <c r="Y11" i="5"/>
  <c r="Y10" i="5"/>
  <c r="Y9" i="5"/>
  <c r="Y8" i="5"/>
  <c r="Y7" i="5"/>
  <c r="Y6" i="5"/>
  <c r="W13" i="5"/>
  <c r="V13" i="5"/>
  <c r="W12" i="5"/>
  <c r="V12" i="5"/>
  <c r="V8" i="5"/>
  <c r="W8" i="5"/>
  <c r="V9" i="5"/>
  <c r="W9" i="5"/>
  <c r="W11" i="5"/>
  <c r="V11" i="5"/>
  <c r="W10" i="5"/>
  <c r="V10" i="5"/>
  <c r="W7" i="5"/>
  <c r="V7" i="5"/>
  <c r="X6" i="5"/>
  <c r="W6" i="5"/>
  <c r="V6" i="5"/>
  <c r="V6" i="7" l="1"/>
  <c r="V32" i="7" s="1"/>
  <c r="AC273" i="4"/>
  <c r="AB273" i="4"/>
  <c r="AA273" i="4"/>
  <c r="AB271" i="4"/>
  <c r="AC271" i="4" s="1"/>
  <c r="AA271" i="4"/>
  <c r="AC270" i="4"/>
  <c r="AB270" i="4"/>
  <c r="AA270" i="4"/>
  <c r="AB269" i="4"/>
  <c r="AC269" i="4" s="1"/>
  <c r="AA269" i="4"/>
  <c r="AB268" i="4"/>
  <c r="AC268" i="4" s="1"/>
  <c r="AA268" i="4"/>
  <c r="AB267" i="4"/>
  <c r="AC267" i="4" s="1"/>
  <c r="AA267" i="4"/>
  <c r="AC266" i="4"/>
  <c r="AB266" i="4"/>
  <c r="AA266" i="4"/>
  <c r="AB265" i="4"/>
  <c r="AC265" i="4" s="1"/>
  <c r="AA265" i="4"/>
  <c r="AB264" i="4"/>
  <c r="AC264" i="4" s="1"/>
  <c r="AA264" i="4"/>
  <c r="AB263" i="4"/>
  <c r="AC263" i="4" s="1"/>
  <c r="AA263" i="4"/>
  <c r="AC262" i="4"/>
  <c r="AB262" i="4"/>
  <c r="AA262" i="4"/>
  <c r="AB261" i="4"/>
  <c r="AC261" i="4" s="1"/>
  <c r="AA261" i="4"/>
  <c r="AB260" i="4"/>
  <c r="AC260" i="4" s="1"/>
  <c r="AA260" i="4"/>
  <c r="AC259" i="4"/>
  <c r="AB259" i="4"/>
  <c r="AA259" i="4"/>
  <c r="AC258" i="4"/>
  <c r="AB258" i="4"/>
  <c r="AA258" i="4"/>
  <c r="AB257" i="4"/>
  <c r="AC257" i="4" s="1"/>
  <c r="AA257" i="4"/>
  <c r="AB256" i="4"/>
  <c r="AC256" i="4" s="1"/>
  <c r="AA256" i="4"/>
  <c r="AC255" i="4"/>
  <c r="AB255" i="4"/>
  <c r="AA255" i="4"/>
  <c r="AC254" i="4"/>
  <c r="AB254" i="4"/>
  <c r="AA254" i="4"/>
  <c r="AB253" i="4"/>
  <c r="AC253" i="4" s="1"/>
  <c r="AA253" i="4"/>
  <c r="AB252" i="4"/>
  <c r="AC252" i="4" s="1"/>
  <c r="AA252" i="4"/>
  <c r="AC251" i="4"/>
  <c r="AB251" i="4"/>
  <c r="AA251" i="4"/>
  <c r="AC250" i="4"/>
  <c r="AB250" i="4"/>
  <c r="AA250" i="4"/>
  <c r="AB249" i="4"/>
  <c r="AC249" i="4" s="1"/>
  <c r="AA249" i="4"/>
  <c r="AB248" i="4"/>
  <c r="AC248" i="4" s="1"/>
  <c r="AA248" i="4"/>
  <c r="AC247" i="4"/>
  <c r="AB247" i="4"/>
  <c r="AA247" i="4"/>
  <c r="AC246" i="4"/>
  <c r="AB246" i="4"/>
  <c r="AA246" i="4"/>
  <c r="AB245" i="4"/>
  <c r="AC245" i="4" s="1"/>
  <c r="AA245" i="4"/>
  <c r="AB244" i="4"/>
  <c r="AC244" i="4" s="1"/>
  <c r="AA244" i="4"/>
  <c r="AC243" i="4"/>
  <c r="AB243" i="4"/>
  <c r="AA243" i="4"/>
  <c r="AC242" i="4"/>
  <c r="AB242" i="4"/>
  <c r="AA242" i="4"/>
  <c r="AB241" i="4"/>
  <c r="AC241" i="4" s="1"/>
  <c r="AA241" i="4"/>
  <c r="AB240" i="4"/>
  <c r="AC240" i="4" s="1"/>
  <c r="AA240" i="4"/>
  <c r="AC239" i="4"/>
  <c r="AB239" i="4"/>
  <c r="AA239" i="4"/>
  <c r="AC238" i="4"/>
  <c r="AB238" i="4"/>
  <c r="AA238" i="4"/>
  <c r="AB237" i="4"/>
  <c r="AC237" i="4" s="1"/>
  <c r="AA237" i="4"/>
  <c r="AB236" i="4"/>
  <c r="AC236" i="4" s="1"/>
  <c r="AA236" i="4"/>
  <c r="AC235" i="4"/>
  <c r="AB235" i="4"/>
  <c r="AA235" i="4"/>
  <c r="AC234" i="4"/>
  <c r="AB234" i="4"/>
  <c r="AA234" i="4"/>
  <c r="AB233" i="4"/>
  <c r="AC233" i="4" s="1"/>
  <c r="AA233" i="4"/>
  <c r="AB232" i="4"/>
  <c r="AC232" i="4" s="1"/>
  <c r="AA232" i="4"/>
  <c r="AC231" i="4"/>
  <c r="AB231" i="4"/>
  <c r="AA231" i="4"/>
  <c r="AC230" i="4"/>
  <c r="AB230" i="4"/>
  <c r="AA230" i="4"/>
  <c r="AB229" i="4"/>
  <c r="AC229" i="4" s="1"/>
  <c r="AA229" i="4"/>
  <c r="AB228" i="4"/>
  <c r="AC228" i="4" s="1"/>
  <c r="AA228" i="4"/>
  <c r="AC227" i="4"/>
  <c r="AB227" i="4"/>
  <c r="AA227" i="4"/>
  <c r="AC226" i="4"/>
  <c r="AB226" i="4"/>
  <c r="AA226" i="4"/>
  <c r="AB225" i="4"/>
  <c r="AC225" i="4" s="1"/>
  <c r="AA225" i="4"/>
  <c r="AB224" i="4"/>
  <c r="AC224" i="4" s="1"/>
  <c r="AA224" i="4"/>
  <c r="AC223" i="4"/>
  <c r="AB223" i="4"/>
  <c r="AA223" i="4"/>
  <c r="AC222" i="4"/>
  <c r="AB222" i="4"/>
  <c r="AA222" i="4"/>
  <c r="AB221" i="4"/>
  <c r="AC221" i="4" s="1"/>
  <c r="AA221" i="4"/>
  <c r="AB220" i="4"/>
  <c r="AC220" i="4" s="1"/>
  <c r="AA220" i="4"/>
  <c r="AC219" i="4"/>
  <c r="AB219" i="4"/>
  <c r="AA219" i="4"/>
  <c r="AC218" i="4"/>
  <c r="AB218" i="4"/>
  <c r="AA218" i="4"/>
  <c r="AB217" i="4"/>
  <c r="AC217" i="4" s="1"/>
  <c r="AA217" i="4"/>
  <c r="AB216" i="4"/>
  <c r="AC216" i="4" s="1"/>
  <c r="AA216" i="4"/>
  <c r="AC215" i="4"/>
  <c r="AB215" i="4"/>
  <c r="AA215" i="4"/>
  <c r="AC214" i="4"/>
  <c r="AB214" i="4"/>
  <c r="AA214" i="4"/>
  <c r="AB213" i="4"/>
  <c r="AC213" i="4" s="1"/>
  <c r="AA213" i="4"/>
  <c r="AB212" i="4"/>
  <c r="AC212" i="4" s="1"/>
  <c r="AA212" i="4"/>
  <c r="AC211" i="4"/>
  <c r="AB211" i="4"/>
  <c r="AA211" i="4"/>
  <c r="AC210" i="4"/>
  <c r="AB210" i="4"/>
  <c r="AA210" i="4"/>
  <c r="AB209" i="4"/>
  <c r="AC209" i="4" s="1"/>
  <c r="AA209" i="4"/>
  <c r="AB208" i="4"/>
  <c r="AC208" i="4" s="1"/>
  <c r="AA208" i="4"/>
  <c r="AC207" i="4"/>
  <c r="AB207" i="4"/>
  <c r="AA207" i="4"/>
  <c r="AC206" i="4"/>
  <c r="AB206" i="4"/>
  <c r="AA206" i="4"/>
  <c r="AB205" i="4"/>
  <c r="AC205" i="4" s="1"/>
  <c r="AA205" i="4"/>
  <c r="AB204" i="4"/>
  <c r="AC204" i="4" s="1"/>
  <c r="AA204" i="4"/>
  <c r="AC203" i="4"/>
  <c r="AB203" i="4"/>
  <c r="AA203" i="4"/>
  <c r="AC202" i="4"/>
  <c r="AB202" i="4"/>
  <c r="AA202" i="4"/>
  <c r="AB201" i="4"/>
  <c r="AC201" i="4" s="1"/>
  <c r="AA201" i="4"/>
  <c r="AB200" i="4"/>
  <c r="AC200" i="4" s="1"/>
  <c r="AA200" i="4"/>
  <c r="AC199" i="4"/>
  <c r="AB199" i="4"/>
  <c r="AA199" i="4"/>
  <c r="AC198" i="4"/>
  <c r="AB198" i="4"/>
  <c r="AA198" i="4"/>
  <c r="AB197" i="4"/>
  <c r="AC197" i="4" s="1"/>
  <c r="AA197" i="4"/>
  <c r="AB196" i="4"/>
  <c r="AC196" i="4" s="1"/>
  <c r="AA196" i="4"/>
  <c r="AC195" i="4"/>
  <c r="AB195" i="4"/>
  <c r="AA195" i="4"/>
  <c r="AC194" i="4"/>
  <c r="AB194" i="4"/>
  <c r="AA194" i="4"/>
  <c r="AB193" i="4"/>
  <c r="AC193" i="4" s="1"/>
  <c r="AA193" i="4"/>
  <c r="AB192" i="4"/>
  <c r="AC192" i="4" s="1"/>
  <c r="AA192" i="4"/>
  <c r="AC191" i="4"/>
  <c r="AB191" i="4"/>
  <c r="AA191" i="4"/>
  <c r="AC190" i="4"/>
  <c r="AB190" i="4"/>
  <c r="AA190" i="4"/>
  <c r="AB189" i="4"/>
  <c r="AC189" i="4" s="1"/>
  <c r="AA189" i="4"/>
  <c r="AB188" i="4"/>
  <c r="AC188" i="4" s="1"/>
  <c r="AA188" i="4"/>
  <c r="AC187" i="4"/>
  <c r="AB187" i="4"/>
  <c r="AA187" i="4"/>
  <c r="AC186" i="4"/>
  <c r="AB186" i="4"/>
  <c r="AA186" i="4"/>
  <c r="AB185" i="4"/>
  <c r="AC185" i="4" s="1"/>
  <c r="AA185" i="4"/>
  <c r="AB184" i="4"/>
  <c r="AC184" i="4" s="1"/>
  <c r="AA184" i="4"/>
  <c r="AC183" i="4"/>
  <c r="AB183" i="4"/>
  <c r="AA183" i="4"/>
  <c r="AC182" i="4"/>
  <c r="AB182" i="4"/>
  <c r="AA182" i="4"/>
  <c r="AB181" i="4"/>
  <c r="AC181" i="4" s="1"/>
  <c r="AA181" i="4"/>
  <c r="AB180" i="4"/>
  <c r="AC180" i="4" s="1"/>
  <c r="AA180" i="4"/>
  <c r="AC179" i="4"/>
  <c r="AB179" i="4"/>
  <c r="AA179" i="4"/>
  <c r="AC178" i="4"/>
  <c r="AB178" i="4"/>
  <c r="AA178" i="4"/>
  <c r="AB177" i="4"/>
  <c r="AC177" i="4" s="1"/>
  <c r="AA177" i="4"/>
  <c r="AB176" i="4"/>
  <c r="AC176" i="4" s="1"/>
  <c r="AA176" i="4"/>
  <c r="AC175" i="4"/>
  <c r="AB175" i="4"/>
  <c r="AA175" i="4"/>
  <c r="AC174" i="4"/>
  <c r="AB174" i="4"/>
  <c r="AA174" i="4"/>
  <c r="AB173" i="4"/>
  <c r="AC173" i="4" s="1"/>
  <c r="AA173" i="4"/>
  <c r="AB172" i="4"/>
  <c r="AC172" i="4" s="1"/>
  <c r="AA172" i="4"/>
  <c r="AC171" i="4"/>
  <c r="AB171" i="4"/>
  <c r="AA171" i="4"/>
  <c r="AC170" i="4"/>
  <c r="AB170" i="4"/>
  <c r="AA170" i="4"/>
  <c r="AB169" i="4"/>
  <c r="AC169" i="4" s="1"/>
  <c r="AA169" i="4"/>
  <c r="AB168" i="4"/>
  <c r="AC168" i="4" s="1"/>
  <c r="AA168" i="4"/>
  <c r="AC167" i="4"/>
  <c r="AB167" i="4"/>
  <c r="AA167" i="4"/>
  <c r="AC166" i="4"/>
  <c r="AB166" i="4"/>
  <c r="AA166" i="4"/>
  <c r="AB165" i="4"/>
  <c r="AC165" i="4" s="1"/>
  <c r="AA165" i="4"/>
  <c r="AB164" i="4"/>
  <c r="AC164" i="4" s="1"/>
  <c r="AA164" i="4"/>
  <c r="AC163" i="4"/>
  <c r="AB163" i="4"/>
  <c r="AA163" i="4"/>
  <c r="AC162" i="4"/>
  <c r="AB162" i="4"/>
  <c r="AA162" i="4"/>
  <c r="AB161" i="4"/>
  <c r="AC161" i="4" s="1"/>
  <c r="AA161" i="4"/>
  <c r="AB160" i="4"/>
  <c r="AC160" i="4" s="1"/>
  <c r="AA160" i="4"/>
  <c r="AC159" i="4"/>
  <c r="AB159" i="4"/>
  <c r="AA159" i="4"/>
  <c r="AC158" i="4"/>
  <c r="AB158" i="4"/>
  <c r="AA158" i="4"/>
  <c r="AB157" i="4"/>
  <c r="AC157" i="4" s="1"/>
  <c r="AA157" i="4"/>
  <c r="AB156" i="4"/>
  <c r="AC156" i="4" s="1"/>
  <c r="AA156" i="4"/>
  <c r="AC155" i="4"/>
  <c r="AB155" i="4"/>
  <c r="AA155" i="4"/>
  <c r="AC154" i="4"/>
  <c r="AB154" i="4"/>
  <c r="AA154" i="4"/>
  <c r="AB153" i="4"/>
  <c r="AC153" i="4" s="1"/>
  <c r="AA153" i="4"/>
  <c r="AB152" i="4"/>
  <c r="AC152" i="4" s="1"/>
  <c r="AA152" i="4"/>
  <c r="AC151" i="4"/>
  <c r="AB151" i="4"/>
  <c r="AA151" i="4"/>
  <c r="AC150" i="4"/>
  <c r="AB150" i="4"/>
  <c r="AA150" i="4"/>
  <c r="AB149" i="4"/>
  <c r="AC149" i="4" s="1"/>
  <c r="AA149" i="4"/>
  <c r="AB148" i="4"/>
  <c r="AC148" i="4" s="1"/>
  <c r="AA148" i="4"/>
  <c r="AC147" i="4"/>
  <c r="AB147" i="4"/>
  <c r="AA147" i="4"/>
  <c r="AC146" i="4"/>
  <c r="AB146" i="4"/>
  <c r="AA146" i="4"/>
  <c r="AC145" i="4"/>
  <c r="AB145" i="4"/>
  <c r="AA145" i="4"/>
  <c r="AB144" i="4"/>
  <c r="AC144" i="4" s="1"/>
  <c r="AA144" i="4"/>
  <c r="AC143" i="4"/>
  <c r="AB143" i="4"/>
  <c r="AA143" i="4"/>
  <c r="AC142" i="4"/>
  <c r="AB142" i="4"/>
  <c r="AA142" i="4"/>
  <c r="AB141" i="4"/>
  <c r="AC141" i="4" s="1"/>
  <c r="AA141" i="4"/>
  <c r="AB140" i="4"/>
  <c r="AC140" i="4" s="1"/>
  <c r="AA140" i="4"/>
  <c r="AC139" i="4"/>
  <c r="AB139" i="4"/>
  <c r="AA139" i="4"/>
  <c r="AC138" i="4"/>
  <c r="AB138" i="4"/>
  <c r="AA138" i="4"/>
  <c r="AB137" i="4"/>
  <c r="AC137" i="4" s="1"/>
  <c r="AA137" i="4"/>
  <c r="AB136" i="4"/>
  <c r="AC136" i="4" s="1"/>
  <c r="AA136" i="4"/>
  <c r="AC135" i="4"/>
  <c r="AB135" i="4"/>
  <c r="AA135" i="4"/>
  <c r="AC134" i="4"/>
  <c r="AB134" i="4"/>
  <c r="AA134" i="4"/>
  <c r="AB133" i="4"/>
  <c r="AC133" i="4" s="1"/>
  <c r="AA133" i="4"/>
  <c r="AB132" i="4"/>
  <c r="AC132" i="4" s="1"/>
  <c r="AA132" i="4"/>
  <c r="AC131" i="4"/>
  <c r="AB131" i="4"/>
  <c r="AA131" i="4"/>
  <c r="AC130" i="4"/>
  <c r="AB130" i="4"/>
  <c r="AA130" i="4"/>
  <c r="AC129" i="4"/>
  <c r="AB129" i="4"/>
  <c r="AA129" i="4"/>
  <c r="AB128" i="4"/>
  <c r="AC128" i="4" s="1"/>
  <c r="AA128" i="4"/>
  <c r="AC127" i="4"/>
  <c r="AB127" i="4"/>
  <c r="AA127" i="4"/>
  <c r="AC126" i="4"/>
  <c r="AB126" i="4"/>
  <c r="AA126" i="4"/>
  <c r="AB125" i="4"/>
  <c r="AC125" i="4" s="1"/>
  <c r="AA125" i="4"/>
  <c r="AB124" i="4"/>
  <c r="AC124" i="4" s="1"/>
  <c r="AA124" i="4"/>
  <c r="AC123" i="4"/>
  <c r="AB123" i="4"/>
  <c r="AA123" i="4"/>
  <c r="AC122" i="4"/>
  <c r="AB122" i="4"/>
  <c r="AA122" i="4"/>
  <c r="AB121" i="4"/>
  <c r="AC121" i="4" s="1"/>
  <c r="AA121" i="4"/>
  <c r="AB120" i="4"/>
  <c r="AC120" i="4" s="1"/>
  <c r="AA120" i="4"/>
  <c r="AC119" i="4"/>
  <c r="AB119" i="4"/>
  <c r="AA119" i="4"/>
  <c r="AC118" i="4"/>
  <c r="AB118" i="4"/>
  <c r="AA118" i="4"/>
  <c r="AC117" i="4"/>
  <c r="AB117" i="4"/>
  <c r="AA117" i="4"/>
  <c r="AB116" i="4"/>
  <c r="AC116" i="4" s="1"/>
  <c r="AA116" i="4"/>
  <c r="AC115" i="4"/>
  <c r="AB115" i="4"/>
  <c r="AA115" i="4"/>
  <c r="AC114" i="4"/>
  <c r="AB114" i="4"/>
  <c r="AA114" i="4"/>
  <c r="AC113" i="4"/>
  <c r="AB113" i="4"/>
  <c r="AA113" i="4"/>
  <c r="AB112" i="4"/>
  <c r="AC112" i="4" s="1"/>
  <c r="AA112" i="4"/>
  <c r="AC111" i="4"/>
  <c r="AB111" i="4"/>
  <c r="AA111" i="4"/>
  <c r="AC110" i="4"/>
  <c r="AB110" i="4"/>
  <c r="AA110" i="4"/>
  <c r="AB109" i="4"/>
  <c r="AC109" i="4" s="1"/>
  <c r="AA109" i="4"/>
  <c r="AB108" i="4"/>
  <c r="AC108" i="4" s="1"/>
  <c r="AA108" i="4"/>
  <c r="AC107" i="4"/>
  <c r="AB107" i="4"/>
  <c r="AA107" i="4"/>
  <c r="AC106" i="4"/>
  <c r="AB106" i="4"/>
  <c r="AA106" i="4"/>
  <c r="AB105" i="4"/>
  <c r="AC105" i="4" s="1"/>
  <c r="AA105" i="4"/>
  <c r="AB104" i="4"/>
  <c r="AC104" i="4" s="1"/>
  <c r="AA104" i="4"/>
  <c r="AC103" i="4"/>
  <c r="AB103" i="4"/>
  <c r="AA103" i="4"/>
  <c r="AC102" i="4"/>
  <c r="AB102" i="4"/>
  <c r="AA102" i="4"/>
  <c r="AC101" i="4"/>
  <c r="AB101" i="4"/>
  <c r="AA101" i="4"/>
  <c r="AB100" i="4"/>
  <c r="AC100" i="4" s="1"/>
  <c r="AA100" i="4"/>
  <c r="AC99" i="4"/>
  <c r="AB99" i="4"/>
  <c r="AA99" i="4"/>
  <c r="AC98" i="4"/>
  <c r="AB98" i="4"/>
  <c r="AA98" i="4"/>
  <c r="AC97" i="4"/>
  <c r="AB97" i="4"/>
  <c r="AA97" i="4"/>
  <c r="AB96" i="4"/>
  <c r="AC96" i="4" s="1"/>
  <c r="AA96" i="4"/>
  <c r="AC95" i="4"/>
  <c r="AB95" i="4"/>
  <c r="AA95" i="4"/>
  <c r="AC94" i="4"/>
  <c r="AB94" i="4"/>
  <c r="AA94" i="4"/>
  <c r="AB93" i="4"/>
  <c r="AC93" i="4" s="1"/>
  <c r="AA93" i="4"/>
  <c r="AB92" i="4"/>
  <c r="AC92" i="4" s="1"/>
  <c r="AA92" i="4"/>
  <c r="AC91" i="4"/>
  <c r="AB91" i="4"/>
  <c r="AA91" i="4"/>
  <c r="AC90" i="4"/>
  <c r="AB90" i="4"/>
  <c r="AA90" i="4"/>
  <c r="AB89" i="4"/>
  <c r="AC89" i="4" s="1"/>
  <c r="AA89" i="4"/>
  <c r="AB88" i="4"/>
  <c r="AC88" i="4" s="1"/>
  <c r="AA88" i="4"/>
  <c r="AC87" i="4"/>
  <c r="AB87" i="4"/>
  <c r="AA87" i="4"/>
  <c r="AC86" i="4"/>
  <c r="AB86" i="4"/>
  <c r="AA86" i="4"/>
  <c r="AC85" i="4"/>
  <c r="AB85" i="4"/>
  <c r="AA85" i="4"/>
  <c r="AB84" i="4"/>
  <c r="AC84" i="4" s="1"/>
  <c r="AA84" i="4"/>
  <c r="AC83" i="4"/>
  <c r="AB83" i="4"/>
  <c r="AA83" i="4"/>
  <c r="AC82" i="4"/>
  <c r="AB82" i="4"/>
  <c r="AA82" i="4"/>
  <c r="AC81" i="4"/>
  <c r="AB81" i="4"/>
  <c r="AA81" i="4"/>
  <c r="AB80" i="4"/>
  <c r="AC80" i="4" s="1"/>
  <c r="AA80" i="4"/>
  <c r="AC79" i="4"/>
  <c r="AB79" i="4"/>
  <c r="AA79" i="4"/>
  <c r="AC78" i="4"/>
  <c r="AB78" i="4"/>
  <c r="AA78" i="4"/>
  <c r="AB77" i="4"/>
  <c r="AC77" i="4" s="1"/>
  <c r="AA77" i="4"/>
  <c r="AB76" i="4"/>
  <c r="AC76" i="4" s="1"/>
  <c r="AA76" i="4"/>
  <c r="AC75" i="4"/>
  <c r="AB75" i="4"/>
  <c r="AA75" i="4"/>
  <c r="AC74" i="4"/>
  <c r="AB74" i="4"/>
  <c r="AA74" i="4"/>
  <c r="AB73" i="4"/>
  <c r="AC73" i="4" s="1"/>
  <c r="AA73" i="4"/>
  <c r="AB72" i="4"/>
  <c r="AC72" i="4" s="1"/>
  <c r="AA72" i="4"/>
  <c r="AC71" i="4"/>
  <c r="AB71" i="4"/>
  <c r="AA71" i="4"/>
  <c r="AC70" i="4"/>
  <c r="AB70" i="4"/>
  <c r="AA70" i="4"/>
  <c r="AC69" i="4"/>
  <c r="AB69" i="4"/>
  <c r="AA69" i="4"/>
  <c r="AB68" i="4"/>
  <c r="AC68" i="4" s="1"/>
  <c r="AA68" i="4"/>
  <c r="AC67" i="4"/>
  <c r="AB67" i="4"/>
  <c r="AA67" i="4"/>
  <c r="AC66" i="4"/>
  <c r="AB66" i="4"/>
  <c r="AA66" i="4"/>
  <c r="AC65" i="4"/>
  <c r="AB65" i="4"/>
  <c r="AA65" i="4"/>
  <c r="AB64" i="4"/>
  <c r="AC64" i="4" s="1"/>
  <c r="AA64" i="4"/>
  <c r="AC63" i="4"/>
  <c r="AB63" i="4"/>
  <c r="AA63" i="4"/>
  <c r="AC62" i="4"/>
  <c r="AB62" i="4"/>
  <c r="AA62" i="4"/>
  <c r="AB61" i="4"/>
  <c r="AC61" i="4" s="1"/>
  <c r="AA61" i="4"/>
  <c r="AB60" i="4"/>
  <c r="AC60" i="4" s="1"/>
  <c r="AA60" i="4"/>
  <c r="AC59" i="4"/>
  <c r="AB59" i="4"/>
  <c r="AA59" i="4"/>
  <c r="AC58" i="4"/>
  <c r="AB58" i="4"/>
  <c r="AA58" i="4"/>
  <c r="AB57" i="4"/>
  <c r="AC57" i="4" s="1"/>
  <c r="AA57" i="4"/>
  <c r="AB56" i="4"/>
  <c r="AC56" i="4" s="1"/>
  <c r="AA56" i="4"/>
  <c r="AC55" i="4"/>
  <c r="AB55" i="4"/>
  <c r="AA55" i="4"/>
  <c r="AC54" i="4"/>
  <c r="AB54" i="4"/>
  <c r="AA54" i="4"/>
  <c r="AC53" i="4"/>
  <c r="AB53" i="4"/>
  <c r="AA53" i="4"/>
  <c r="AB52" i="4"/>
  <c r="AC52" i="4" s="1"/>
  <c r="AA52" i="4"/>
  <c r="AC51" i="4"/>
  <c r="AB51" i="4"/>
  <c r="AA51" i="4"/>
  <c r="AC50" i="4"/>
  <c r="AB50" i="4"/>
  <c r="AA50" i="4"/>
  <c r="AC49" i="4"/>
  <c r="AB49" i="4"/>
  <c r="AA49" i="4"/>
  <c r="AB48" i="4"/>
  <c r="AC48" i="4" s="1"/>
  <c r="AA48" i="4"/>
  <c r="AC47" i="4"/>
  <c r="AB47" i="4"/>
  <c r="AA47" i="4"/>
  <c r="AC46" i="4"/>
  <c r="AB46" i="4"/>
  <c r="AA46" i="4"/>
  <c r="AB45" i="4"/>
  <c r="AC45" i="4" s="1"/>
  <c r="AA45" i="4"/>
  <c r="AB44" i="4"/>
  <c r="AC44" i="4" s="1"/>
  <c r="AA44" i="4"/>
  <c r="AC43" i="4"/>
  <c r="AB43" i="4"/>
  <c r="AA43" i="4"/>
  <c r="AC42" i="4"/>
  <c r="AB42" i="4"/>
  <c r="AA42" i="4"/>
  <c r="AB41" i="4"/>
  <c r="AC41" i="4" s="1"/>
  <c r="AA41" i="4"/>
  <c r="AB40" i="4"/>
  <c r="AC40" i="4" s="1"/>
  <c r="AA40" i="4"/>
  <c r="AC39" i="4"/>
  <c r="AB39" i="4"/>
  <c r="AA39" i="4"/>
  <c r="AC38" i="4"/>
  <c r="AB38" i="4"/>
  <c r="AA38" i="4"/>
  <c r="AC37" i="4"/>
  <c r="AB37" i="4"/>
  <c r="AA37" i="4"/>
  <c r="AB36" i="4"/>
  <c r="AC36" i="4" s="1"/>
  <c r="AA36" i="4"/>
  <c r="AC35" i="4"/>
  <c r="AB35" i="4"/>
  <c r="AA35" i="4"/>
  <c r="AC34" i="4"/>
  <c r="AB34" i="4"/>
  <c r="AA34" i="4"/>
  <c r="AC33" i="4"/>
  <c r="AB33" i="4"/>
  <c r="AA33" i="4"/>
  <c r="AB32" i="4"/>
  <c r="AC32" i="4" s="1"/>
  <c r="AA32" i="4"/>
  <c r="AC31" i="4"/>
  <c r="AB31" i="4"/>
  <c r="AA31" i="4"/>
  <c r="AC30" i="4"/>
  <c r="AB30" i="4"/>
  <c r="AA30" i="4"/>
  <c r="AB29" i="4"/>
  <c r="AC29" i="4" s="1"/>
  <c r="AA29" i="4"/>
  <c r="AB28" i="4"/>
  <c r="AC28" i="4" s="1"/>
  <c r="AA28" i="4"/>
  <c r="AC27" i="4"/>
  <c r="AB27" i="4"/>
  <c r="AA27" i="4"/>
  <c r="AC26" i="4"/>
  <c r="AB26" i="4"/>
  <c r="AA26" i="4"/>
  <c r="AB25" i="4"/>
  <c r="AC25" i="4" s="1"/>
  <c r="AA25" i="4"/>
  <c r="AB24" i="4"/>
  <c r="AC24" i="4" s="1"/>
  <c r="AA24" i="4"/>
  <c r="AC23" i="4"/>
  <c r="AB23" i="4"/>
  <c r="AA23" i="4"/>
  <c r="AC22" i="4"/>
  <c r="AB22" i="4"/>
  <c r="AA22" i="4"/>
  <c r="AC21" i="4"/>
  <c r="AB21" i="4"/>
  <c r="AA21" i="4"/>
  <c r="AB20" i="4"/>
  <c r="AC20" i="4" s="1"/>
  <c r="AA20" i="4"/>
  <c r="AC19" i="4"/>
  <c r="AB19" i="4"/>
  <c r="AA19" i="4"/>
  <c r="AC18" i="4"/>
  <c r="AB18" i="4"/>
  <c r="AA18" i="4"/>
  <c r="AC17" i="4"/>
  <c r="AB17" i="4"/>
  <c r="AA17" i="4"/>
  <c r="AB16" i="4"/>
  <c r="AC16" i="4" s="1"/>
  <c r="AA16" i="4"/>
  <c r="AC15" i="4"/>
  <c r="AB15" i="4"/>
  <c r="AA15" i="4"/>
  <c r="AC14" i="4"/>
  <c r="AB14" i="4"/>
  <c r="AA14" i="4"/>
  <c r="AB13" i="4"/>
  <c r="AC13" i="4" s="1"/>
  <c r="AA13" i="4"/>
  <c r="AB12" i="4"/>
  <c r="AC12" i="4" s="1"/>
  <c r="AA12" i="4"/>
  <c r="AC11" i="4"/>
  <c r="AB11" i="4"/>
  <c r="AA11" i="4"/>
  <c r="AC10" i="4"/>
  <c r="AB10" i="4"/>
  <c r="AA10" i="4"/>
  <c r="AB9" i="4"/>
  <c r="AC9" i="4" s="1"/>
  <c r="AA9" i="4"/>
  <c r="AB8" i="4"/>
  <c r="AC8" i="4" s="1"/>
  <c r="AA8" i="4"/>
  <c r="AC7" i="4"/>
  <c r="AB7" i="4"/>
  <c r="AA7" i="4"/>
  <c r="AC6" i="4"/>
  <c r="AB6" i="4"/>
  <c r="AA6" i="4"/>
  <c r="AF6" i="4"/>
  <c r="AE6" i="4"/>
  <c r="AF262" i="1"/>
  <c r="AE262" i="1"/>
  <c r="M51" i="20"/>
  <c r="L51" i="20"/>
  <c r="N43" i="20"/>
  <c r="N38" i="20"/>
  <c r="N31" i="20"/>
  <c r="N28" i="20"/>
  <c r="N27" i="20"/>
  <c r="N26" i="20"/>
  <c r="N25" i="20"/>
  <c r="N18" i="20"/>
  <c r="N17" i="20"/>
  <c r="N13" i="20"/>
  <c r="N12" i="20"/>
  <c r="N11" i="20"/>
  <c r="N9" i="20"/>
  <c r="N8" i="20"/>
  <c r="N7" i="20"/>
  <c r="N51" i="20" s="1"/>
  <c r="N6" i="20"/>
  <c r="A6" i="28" l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" i="28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5" i="29"/>
  <c r="H15" i="25"/>
  <c r="H14" i="25"/>
  <c r="H13" i="25"/>
  <c r="H12" i="25"/>
  <c r="H11" i="25"/>
  <c r="H10" i="25"/>
  <c r="H9" i="25"/>
  <c r="H8" i="25"/>
  <c r="H7" i="25"/>
  <c r="H6" i="25"/>
  <c r="H5" i="25"/>
  <c r="H4" i="25"/>
  <c r="P43" i="10" l="1"/>
  <c r="P42" i="10"/>
  <c r="P41" i="10"/>
  <c r="P39" i="10"/>
  <c r="P38" i="10"/>
  <c r="P37" i="10"/>
  <c r="P35" i="10"/>
  <c r="P34" i="10"/>
  <c r="P33" i="10"/>
  <c r="P32" i="10"/>
  <c r="P31" i="10"/>
  <c r="P30" i="10"/>
  <c r="AC46" i="10"/>
  <c r="AB46" i="10"/>
  <c r="AA46" i="10"/>
  <c r="AD46" i="10" s="1"/>
  <c r="X46" i="10"/>
  <c r="W46" i="10"/>
  <c r="V46" i="10"/>
  <c r="Y46" i="10" s="1"/>
  <c r="AC45" i="10"/>
  <c r="AB45" i="10"/>
  <c r="AA45" i="10"/>
  <c r="AD45" i="10" s="1"/>
  <c r="X45" i="10"/>
  <c r="W45" i="10"/>
  <c r="V45" i="10"/>
  <c r="Y45" i="10" s="1"/>
  <c r="AC44" i="10"/>
  <c r="AB44" i="10"/>
  <c r="AA44" i="10"/>
  <c r="AD44" i="10" s="1"/>
  <c r="X44" i="10"/>
  <c r="W44" i="10"/>
  <c r="V44" i="10"/>
  <c r="Y44" i="10" s="1"/>
  <c r="AC43" i="10"/>
  <c r="AB43" i="10"/>
  <c r="AA43" i="10"/>
  <c r="AD43" i="10" s="1"/>
  <c r="X43" i="10"/>
  <c r="W43" i="10"/>
  <c r="V43" i="10"/>
  <c r="Y43" i="10" s="1"/>
  <c r="AC42" i="10"/>
  <c r="AB42" i="10"/>
  <c r="AA42" i="10"/>
  <c r="AD42" i="10" s="1"/>
  <c r="X42" i="10"/>
  <c r="W42" i="10"/>
  <c r="V42" i="10"/>
  <c r="Y42" i="10" s="1"/>
  <c r="AC41" i="10"/>
  <c r="AB41" i="10"/>
  <c r="AA41" i="10"/>
  <c r="AD41" i="10" s="1"/>
  <c r="X41" i="10"/>
  <c r="W41" i="10"/>
  <c r="V41" i="10"/>
  <c r="Y41" i="10" s="1"/>
  <c r="AC40" i="10"/>
  <c r="AB40" i="10"/>
  <c r="AA40" i="10"/>
  <c r="AD40" i="10" s="1"/>
  <c r="X40" i="10"/>
  <c r="W40" i="10"/>
  <c r="V40" i="10"/>
  <c r="Y40" i="10" s="1"/>
  <c r="AC39" i="10"/>
  <c r="AB39" i="10"/>
  <c r="AA39" i="10"/>
  <c r="AD39" i="10" s="1"/>
  <c r="X39" i="10"/>
  <c r="W39" i="10"/>
  <c r="V39" i="10"/>
  <c r="Y39" i="10" s="1"/>
  <c r="AC38" i="10"/>
  <c r="AB38" i="10"/>
  <c r="AA38" i="10"/>
  <c r="AD38" i="10" s="1"/>
  <c r="X38" i="10"/>
  <c r="W38" i="10"/>
  <c r="V38" i="10"/>
  <c r="Y38" i="10" s="1"/>
  <c r="AC37" i="10"/>
  <c r="AB37" i="10"/>
  <c r="AA37" i="10"/>
  <c r="AD37" i="10" s="1"/>
  <c r="X37" i="10"/>
  <c r="W37" i="10"/>
  <c r="V37" i="10"/>
  <c r="Y37" i="10" s="1"/>
  <c r="AC36" i="10"/>
  <c r="AB36" i="10"/>
  <c r="AA36" i="10"/>
  <c r="AD36" i="10" s="1"/>
  <c r="X36" i="10"/>
  <c r="W36" i="10"/>
  <c r="V36" i="10"/>
  <c r="Y36" i="10" s="1"/>
  <c r="AC35" i="10"/>
  <c r="AB35" i="10"/>
  <c r="AA35" i="10"/>
  <c r="AD35" i="10" s="1"/>
  <c r="X35" i="10"/>
  <c r="W35" i="10"/>
  <c r="V35" i="10"/>
  <c r="Y35" i="10" s="1"/>
  <c r="AC34" i="10"/>
  <c r="AB34" i="10"/>
  <c r="AA34" i="10"/>
  <c r="AD34" i="10" s="1"/>
  <c r="X34" i="10"/>
  <c r="W34" i="10"/>
  <c r="V34" i="10"/>
  <c r="Y34" i="10" s="1"/>
  <c r="AC33" i="10"/>
  <c r="AB33" i="10"/>
  <c r="AA33" i="10"/>
  <c r="AD33" i="10" s="1"/>
  <c r="X33" i="10"/>
  <c r="W33" i="10"/>
  <c r="V33" i="10"/>
  <c r="Y33" i="10" s="1"/>
  <c r="AC32" i="10"/>
  <c r="AB32" i="10"/>
  <c r="AA32" i="10"/>
  <c r="AD32" i="10" s="1"/>
  <c r="X32" i="10"/>
  <c r="W32" i="10"/>
  <c r="V32" i="10"/>
  <c r="Y32" i="10" s="1"/>
  <c r="AC31" i="10"/>
  <c r="AB31" i="10"/>
  <c r="AA31" i="10"/>
  <c r="AD31" i="10" s="1"/>
  <c r="X31" i="10"/>
  <c r="W31" i="10"/>
  <c r="V31" i="10"/>
  <c r="Y31" i="10" s="1"/>
  <c r="AC30" i="10"/>
  <c r="AB30" i="10"/>
  <c r="AA30" i="10"/>
  <c r="AD30" i="10" s="1"/>
  <c r="X30" i="10"/>
  <c r="W30" i="10"/>
  <c r="V30" i="10"/>
  <c r="Y30" i="10" s="1"/>
  <c r="AC29" i="10"/>
  <c r="AB29" i="10"/>
  <c r="AA29" i="10"/>
  <c r="AD29" i="10" s="1"/>
  <c r="X29" i="10"/>
  <c r="W29" i="10"/>
  <c r="V29" i="10"/>
  <c r="Y29" i="10" s="1"/>
  <c r="AC28" i="10"/>
  <c r="AB28" i="10"/>
  <c r="AA28" i="10"/>
  <c r="AD28" i="10" s="1"/>
  <c r="X28" i="10"/>
  <c r="W28" i="10"/>
  <c r="V28" i="10"/>
  <c r="Y28" i="10" s="1"/>
  <c r="AC27" i="10"/>
  <c r="AB27" i="10"/>
  <c r="AA27" i="10"/>
  <c r="AD27" i="10" s="1"/>
  <c r="X27" i="10"/>
  <c r="W27" i="10"/>
  <c r="V27" i="10"/>
  <c r="Y27" i="10" s="1"/>
  <c r="AC26" i="10"/>
  <c r="AB26" i="10"/>
  <c r="AA26" i="10"/>
  <c r="AD26" i="10" s="1"/>
  <c r="X26" i="10"/>
  <c r="W26" i="10"/>
  <c r="V26" i="10"/>
  <c r="Y26" i="10" s="1"/>
  <c r="AC25" i="10"/>
  <c r="AB25" i="10"/>
  <c r="AA25" i="10"/>
  <c r="AD25" i="10" s="1"/>
  <c r="X25" i="10"/>
  <c r="W25" i="10"/>
  <c r="V25" i="10"/>
  <c r="Y25" i="10" s="1"/>
  <c r="AC24" i="10"/>
  <c r="AB24" i="10"/>
  <c r="AA24" i="10"/>
  <c r="AD24" i="10" s="1"/>
  <c r="X24" i="10"/>
  <c r="W24" i="10"/>
  <c r="V24" i="10"/>
  <c r="Y24" i="10" s="1"/>
  <c r="AC23" i="10"/>
  <c r="AB23" i="10"/>
  <c r="AA23" i="10"/>
  <c r="AD23" i="10" s="1"/>
  <c r="X23" i="10"/>
  <c r="W23" i="10"/>
  <c r="V23" i="10"/>
  <c r="Y23" i="10" s="1"/>
  <c r="AC22" i="10"/>
  <c r="AB22" i="10"/>
  <c r="AA22" i="10"/>
  <c r="AD22" i="10" s="1"/>
  <c r="X22" i="10"/>
  <c r="W22" i="10"/>
  <c r="V22" i="10"/>
  <c r="Y22" i="10" s="1"/>
  <c r="AC21" i="10"/>
  <c r="AB21" i="10"/>
  <c r="AA21" i="10"/>
  <c r="AD21" i="10" s="1"/>
  <c r="X21" i="10"/>
  <c r="W21" i="10"/>
  <c r="V21" i="10"/>
  <c r="Y21" i="10" s="1"/>
  <c r="AC20" i="10"/>
  <c r="AB20" i="10"/>
  <c r="AA20" i="10"/>
  <c r="AD20" i="10" s="1"/>
  <c r="X20" i="10"/>
  <c r="W20" i="10"/>
  <c r="V20" i="10"/>
  <c r="Y20" i="10" s="1"/>
  <c r="AC19" i="10"/>
  <c r="AB19" i="10"/>
  <c r="AA19" i="10"/>
  <c r="AD19" i="10" s="1"/>
  <c r="X19" i="10"/>
  <c r="W19" i="10"/>
  <c r="V19" i="10"/>
  <c r="Y19" i="10" s="1"/>
  <c r="AC18" i="10"/>
  <c r="AB18" i="10"/>
  <c r="AA18" i="10"/>
  <c r="AD18" i="10" s="1"/>
  <c r="X18" i="10"/>
  <c r="W18" i="10"/>
  <c r="V18" i="10"/>
  <c r="Y18" i="10" s="1"/>
  <c r="AC17" i="10"/>
  <c r="AB17" i="10"/>
  <c r="AA17" i="10"/>
  <c r="AD17" i="10" s="1"/>
  <c r="X17" i="10"/>
  <c r="W17" i="10"/>
  <c r="V17" i="10"/>
  <c r="Y17" i="10" s="1"/>
  <c r="AC16" i="10"/>
  <c r="AB16" i="10"/>
  <c r="AA16" i="10"/>
  <c r="AD16" i="10" s="1"/>
  <c r="X16" i="10"/>
  <c r="W16" i="10"/>
  <c r="V16" i="10"/>
  <c r="Y16" i="10" s="1"/>
  <c r="AC15" i="10"/>
  <c r="AB15" i="10"/>
  <c r="AA15" i="10"/>
  <c r="AD15" i="10" s="1"/>
  <c r="X15" i="10"/>
  <c r="W15" i="10"/>
  <c r="V15" i="10"/>
  <c r="Y15" i="10" s="1"/>
  <c r="AC14" i="10"/>
  <c r="AB14" i="10"/>
  <c r="AA14" i="10"/>
  <c r="AD14" i="10" s="1"/>
  <c r="X14" i="10"/>
  <c r="W14" i="10"/>
  <c r="V14" i="10"/>
  <c r="Y14" i="10" s="1"/>
  <c r="AC13" i="10"/>
  <c r="AB13" i="10"/>
  <c r="AA13" i="10"/>
  <c r="AD13" i="10" s="1"/>
  <c r="X13" i="10"/>
  <c r="W13" i="10"/>
  <c r="V13" i="10"/>
  <c r="Y13" i="10" s="1"/>
  <c r="AC12" i="10"/>
  <c r="AB12" i="10"/>
  <c r="AA12" i="10"/>
  <c r="AD12" i="10" s="1"/>
  <c r="X12" i="10"/>
  <c r="W12" i="10"/>
  <c r="V12" i="10"/>
  <c r="Y12" i="10" s="1"/>
  <c r="AC11" i="10"/>
  <c r="AB11" i="10"/>
  <c r="AA11" i="10"/>
  <c r="AD11" i="10" s="1"/>
  <c r="X11" i="10"/>
  <c r="W11" i="10"/>
  <c r="V11" i="10"/>
  <c r="Y11" i="10" s="1"/>
  <c r="AC10" i="10"/>
  <c r="AB10" i="10"/>
  <c r="AA10" i="10"/>
  <c r="AD10" i="10" s="1"/>
  <c r="X10" i="10"/>
  <c r="W10" i="10"/>
  <c r="V10" i="10"/>
  <c r="Y10" i="10" s="1"/>
  <c r="AC9" i="10"/>
  <c r="AB9" i="10"/>
  <c r="AA9" i="10"/>
  <c r="AD9" i="10" s="1"/>
  <c r="X9" i="10"/>
  <c r="W9" i="10"/>
  <c r="V9" i="10"/>
  <c r="Y9" i="10" s="1"/>
  <c r="AC8" i="10"/>
  <c r="AB8" i="10"/>
  <c r="AA8" i="10"/>
  <c r="AD8" i="10" s="1"/>
  <c r="X8" i="10"/>
  <c r="W8" i="10"/>
  <c r="V8" i="10"/>
  <c r="Y8" i="10" s="1"/>
  <c r="AC7" i="10"/>
  <c r="AB7" i="10"/>
  <c r="AA7" i="10"/>
  <c r="AD7" i="10" s="1"/>
  <c r="X7" i="10"/>
  <c r="W7" i="10"/>
  <c r="V7" i="10"/>
  <c r="Y7" i="10" s="1"/>
  <c r="AC6" i="10"/>
  <c r="AB6" i="10"/>
  <c r="AA6" i="10"/>
  <c r="AD6" i="10" s="1"/>
  <c r="X6" i="10"/>
  <c r="W6" i="10"/>
  <c r="V6" i="10"/>
  <c r="Y6" i="10" s="1"/>
  <c r="AD5" i="10"/>
  <c r="AC5" i="10"/>
  <c r="AB5" i="10"/>
  <c r="AA5" i="10"/>
  <c r="Y5" i="10"/>
  <c r="X5" i="10"/>
  <c r="W5" i="10"/>
  <c r="V5" i="10"/>
  <c r="S51" i="6"/>
  <c r="S50" i="6"/>
  <c r="S49" i="6"/>
  <c r="S46" i="6"/>
  <c r="S42" i="6"/>
  <c r="S38" i="6"/>
  <c r="S34" i="6"/>
  <c r="S30" i="6"/>
  <c r="S26" i="6"/>
  <c r="S22" i="6"/>
  <c r="S18" i="6"/>
  <c r="S14" i="6"/>
  <c r="S10" i="6"/>
  <c r="S6" i="6"/>
  <c r="AB48" i="6"/>
  <c r="AA48" i="6"/>
  <c r="Z48" i="6"/>
  <c r="AB47" i="6"/>
  <c r="AA47" i="6"/>
  <c r="Z47" i="6"/>
  <c r="AC47" i="6" s="1"/>
  <c r="S47" i="6" s="1"/>
  <c r="AB46" i="6"/>
  <c r="AA46" i="6"/>
  <c r="Z46" i="6"/>
  <c r="AC46" i="6" s="1"/>
  <c r="AB45" i="6"/>
  <c r="AA45" i="6"/>
  <c r="Z45" i="6"/>
  <c r="AB44" i="6"/>
  <c r="AA44" i="6"/>
  <c r="Z44" i="6"/>
  <c r="AB43" i="6"/>
  <c r="AA43" i="6"/>
  <c r="Z43" i="6"/>
  <c r="AC43" i="6" s="1"/>
  <c r="S43" i="6" s="1"/>
  <c r="AB42" i="6"/>
  <c r="AA42" i="6"/>
  <c r="Z42" i="6"/>
  <c r="AC42" i="6" s="1"/>
  <c r="AB41" i="6"/>
  <c r="AA41" i="6"/>
  <c r="Z41" i="6"/>
  <c r="AB40" i="6"/>
  <c r="AA40" i="6"/>
  <c r="Z40" i="6"/>
  <c r="AB39" i="6"/>
  <c r="AA39" i="6"/>
  <c r="Z39" i="6"/>
  <c r="AC39" i="6" s="1"/>
  <c r="S39" i="6" s="1"/>
  <c r="AB38" i="6"/>
  <c r="AA38" i="6"/>
  <c r="Z38" i="6"/>
  <c r="AC38" i="6" s="1"/>
  <c r="AB37" i="6"/>
  <c r="AA37" i="6"/>
  <c r="Z37" i="6"/>
  <c r="AB36" i="6"/>
  <c r="AA36" i="6"/>
  <c r="Z36" i="6"/>
  <c r="AB35" i="6"/>
  <c r="AA35" i="6"/>
  <c r="Z35" i="6"/>
  <c r="AC35" i="6" s="1"/>
  <c r="S35" i="6" s="1"/>
  <c r="AB34" i="6"/>
  <c r="AA34" i="6"/>
  <c r="Z34" i="6"/>
  <c r="AC34" i="6" s="1"/>
  <c r="AB33" i="6"/>
  <c r="AA33" i="6"/>
  <c r="Z33" i="6"/>
  <c r="AB32" i="6"/>
  <c r="AA32" i="6"/>
  <c r="Z32" i="6"/>
  <c r="AB31" i="6"/>
  <c r="AA31" i="6"/>
  <c r="Z31" i="6"/>
  <c r="AC31" i="6" s="1"/>
  <c r="S31" i="6" s="1"/>
  <c r="AB30" i="6"/>
  <c r="AA30" i="6"/>
  <c r="Z30" i="6"/>
  <c r="AC30" i="6" s="1"/>
  <c r="AB29" i="6"/>
  <c r="AA29" i="6"/>
  <c r="Z29" i="6"/>
  <c r="AB28" i="6"/>
  <c r="AA28" i="6"/>
  <c r="Z28" i="6"/>
  <c r="AB27" i="6"/>
  <c r="AA27" i="6"/>
  <c r="Z27" i="6"/>
  <c r="AC27" i="6" s="1"/>
  <c r="S27" i="6" s="1"/>
  <c r="AB26" i="6"/>
  <c r="AA26" i="6"/>
  <c r="Z26" i="6"/>
  <c r="AC26" i="6" s="1"/>
  <c r="AB25" i="6"/>
  <c r="AA25" i="6"/>
  <c r="Z25" i="6"/>
  <c r="AB24" i="6"/>
  <c r="AA24" i="6"/>
  <c r="Z24" i="6"/>
  <c r="AB23" i="6"/>
  <c r="AA23" i="6"/>
  <c r="Z23" i="6"/>
  <c r="AC23" i="6" s="1"/>
  <c r="S23" i="6" s="1"/>
  <c r="AB22" i="6"/>
  <c r="AA22" i="6"/>
  <c r="Z22" i="6"/>
  <c r="AC22" i="6" s="1"/>
  <c r="AB21" i="6"/>
  <c r="AA21" i="6"/>
  <c r="Z21" i="6"/>
  <c r="AB20" i="6"/>
  <c r="AA20" i="6"/>
  <c r="Z20" i="6"/>
  <c r="AB19" i="6"/>
  <c r="AA19" i="6"/>
  <c r="Z19" i="6"/>
  <c r="AC19" i="6" s="1"/>
  <c r="S19" i="6" s="1"/>
  <c r="AB18" i="6"/>
  <c r="AA18" i="6"/>
  <c r="Z18" i="6"/>
  <c r="AC18" i="6" s="1"/>
  <c r="AB17" i="6"/>
  <c r="AA17" i="6"/>
  <c r="Z17" i="6"/>
  <c r="AB16" i="6"/>
  <c r="AA16" i="6"/>
  <c r="Z16" i="6"/>
  <c r="AB15" i="6"/>
  <c r="AA15" i="6"/>
  <c r="Z15" i="6"/>
  <c r="AC15" i="6" s="1"/>
  <c r="S15" i="6" s="1"/>
  <c r="AB14" i="6"/>
  <c r="AA14" i="6"/>
  <c r="Z14" i="6"/>
  <c r="AC14" i="6" s="1"/>
  <c r="AB13" i="6"/>
  <c r="AA13" i="6"/>
  <c r="Z13" i="6"/>
  <c r="AB12" i="6"/>
  <c r="AA12" i="6"/>
  <c r="Z12" i="6"/>
  <c r="AB11" i="6"/>
  <c r="AA11" i="6"/>
  <c r="Z11" i="6"/>
  <c r="AC11" i="6" s="1"/>
  <c r="S11" i="6" s="1"/>
  <c r="AB10" i="6"/>
  <c r="AA10" i="6"/>
  <c r="Z10" i="6"/>
  <c r="AC10" i="6" s="1"/>
  <c r="AB9" i="6"/>
  <c r="AA9" i="6"/>
  <c r="Z9" i="6"/>
  <c r="AB8" i="6"/>
  <c r="AA8" i="6"/>
  <c r="Z8" i="6"/>
  <c r="AB7" i="6"/>
  <c r="AA7" i="6"/>
  <c r="Z7" i="6"/>
  <c r="AC7" i="6" s="1"/>
  <c r="S7" i="6" s="1"/>
  <c r="AB6" i="6"/>
  <c r="AA6" i="6"/>
  <c r="Z6" i="6"/>
  <c r="AC6" i="6" s="1"/>
  <c r="AB5" i="6"/>
  <c r="AA5" i="6"/>
  <c r="Z5" i="6"/>
  <c r="AG48" i="6"/>
  <c r="AF48" i="6"/>
  <c r="AE48" i="6"/>
  <c r="AG47" i="6"/>
  <c r="AF47" i="6"/>
  <c r="AE47" i="6"/>
  <c r="AH47" i="6" s="1"/>
  <c r="AG46" i="6"/>
  <c r="AF46" i="6"/>
  <c r="AE46" i="6"/>
  <c r="AH46" i="6" s="1"/>
  <c r="AG45" i="6"/>
  <c r="AF45" i="6"/>
  <c r="AE45" i="6"/>
  <c r="AG44" i="6"/>
  <c r="AF44" i="6"/>
  <c r="AE44" i="6"/>
  <c r="AG43" i="6"/>
  <c r="AF43" i="6"/>
  <c r="AE43" i="6"/>
  <c r="AH43" i="6" s="1"/>
  <c r="AG42" i="6"/>
  <c r="AF42" i="6"/>
  <c r="AE42" i="6"/>
  <c r="AH42" i="6" s="1"/>
  <c r="AG41" i="6"/>
  <c r="AF41" i="6"/>
  <c r="AE41" i="6"/>
  <c r="AG40" i="6"/>
  <c r="AF40" i="6"/>
  <c r="AE40" i="6"/>
  <c r="AG39" i="6"/>
  <c r="AF39" i="6"/>
  <c r="AE39" i="6"/>
  <c r="AH39" i="6" s="1"/>
  <c r="AG38" i="6"/>
  <c r="AF38" i="6"/>
  <c r="AE38" i="6"/>
  <c r="AH38" i="6" s="1"/>
  <c r="AG37" i="6"/>
  <c r="AF37" i="6"/>
  <c r="AE37" i="6"/>
  <c r="AG36" i="6"/>
  <c r="AF36" i="6"/>
  <c r="AE36" i="6"/>
  <c r="AG35" i="6"/>
  <c r="AF35" i="6"/>
  <c r="AE35" i="6"/>
  <c r="AH35" i="6" s="1"/>
  <c r="AG34" i="6"/>
  <c r="AF34" i="6"/>
  <c r="AE34" i="6"/>
  <c r="AH34" i="6" s="1"/>
  <c r="AG33" i="6"/>
  <c r="AF33" i="6"/>
  <c r="AE33" i="6"/>
  <c r="AG32" i="6"/>
  <c r="AF32" i="6"/>
  <c r="AE32" i="6"/>
  <c r="AG31" i="6"/>
  <c r="AF31" i="6"/>
  <c r="AE31" i="6"/>
  <c r="AH31" i="6" s="1"/>
  <c r="AG30" i="6"/>
  <c r="AF30" i="6"/>
  <c r="AE30" i="6"/>
  <c r="AH30" i="6" s="1"/>
  <c r="AG29" i="6"/>
  <c r="AF29" i="6"/>
  <c r="AE29" i="6"/>
  <c r="AG28" i="6"/>
  <c r="AF28" i="6"/>
  <c r="AE28" i="6"/>
  <c r="AG27" i="6"/>
  <c r="AF27" i="6"/>
  <c r="AE27" i="6"/>
  <c r="AH27" i="6" s="1"/>
  <c r="AG26" i="6"/>
  <c r="AF26" i="6"/>
  <c r="AE26" i="6"/>
  <c r="AH26" i="6" s="1"/>
  <c r="AG25" i="6"/>
  <c r="AF25" i="6"/>
  <c r="AE25" i="6"/>
  <c r="AG24" i="6"/>
  <c r="AF24" i="6"/>
  <c r="AE24" i="6"/>
  <c r="AG23" i="6"/>
  <c r="AF23" i="6"/>
  <c r="AE23" i="6"/>
  <c r="AH23" i="6" s="1"/>
  <c r="AG22" i="6"/>
  <c r="AF22" i="6"/>
  <c r="AE22" i="6"/>
  <c r="AH22" i="6" s="1"/>
  <c r="AG21" i="6"/>
  <c r="AF21" i="6"/>
  <c r="AE21" i="6"/>
  <c r="AG20" i="6"/>
  <c r="AF20" i="6"/>
  <c r="AE20" i="6"/>
  <c r="AG19" i="6"/>
  <c r="AF19" i="6"/>
  <c r="AE19" i="6"/>
  <c r="AH19" i="6" s="1"/>
  <c r="AG18" i="6"/>
  <c r="AF18" i="6"/>
  <c r="AE18" i="6"/>
  <c r="AH18" i="6" s="1"/>
  <c r="AG17" i="6"/>
  <c r="AF17" i="6"/>
  <c r="AE17" i="6"/>
  <c r="AG16" i="6"/>
  <c r="AF16" i="6"/>
  <c r="AE16" i="6"/>
  <c r="AG15" i="6"/>
  <c r="AF15" i="6"/>
  <c r="AE15" i="6"/>
  <c r="AH15" i="6" s="1"/>
  <c r="AG14" i="6"/>
  <c r="AF14" i="6"/>
  <c r="AE14" i="6"/>
  <c r="AH14" i="6" s="1"/>
  <c r="AG13" i="6"/>
  <c r="AF13" i="6"/>
  <c r="AE13" i="6"/>
  <c r="AG12" i="6"/>
  <c r="AF12" i="6"/>
  <c r="AE12" i="6"/>
  <c r="AG11" i="6"/>
  <c r="AF11" i="6"/>
  <c r="AE11" i="6"/>
  <c r="AH11" i="6" s="1"/>
  <c r="AG10" i="6"/>
  <c r="AF10" i="6"/>
  <c r="AE10" i="6"/>
  <c r="AH10" i="6" s="1"/>
  <c r="AG9" i="6"/>
  <c r="AF9" i="6"/>
  <c r="AE9" i="6"/>
  <c r="AG8" i="6"/>
  <c r="AF8" i="6"/>
  <c r="AE8" i="6"/>
  <c r="AG7" i="6"/>
  <c r="AF7" i="6"/>
  <c r="AE7" i="6"/>
  <c r="AH7" i="6" s="1"/>
  <c r="AG6" i="6"/>
  <c r="AF6" i="6"/>
  <c r="AE6" i="6"/>
  <c r="AH6" i="6" s="1"/>
  <c r="AG5" i="6"/>
  <c r="AF5" i="6"/>
  <c r="AE5" i="6"/>
  <c r="AG4" i="6"/>
  <c r="AF4" i="6"/>
  <c r="AE4" i="6"/>
  <c r="AH4" i="6" s="1"/>
  <c r="AB4" i="6"/>
  <c r="AC4" i="6" s="1"/>
  <c r="S4" i="6" s="1"/>
  <c r="AA4" i="6"/>
  <c r="Z4" i="6"/>
  <c r="AI30" i="7"/>
  <c r="AH30" i="7"/>
  <c r="AG30" i="7"/>
  <c r="AF30" i="7"/>
  <c r="AJ30" i="7" s="1"/>
  <c r="AC30" i="7"/>
  <c r="AB30" i="7"/>
  <c r="AA30" i="7"/>
  <c r="Z30" i="7"/>
  <c r="AD30" i="7" s="1"/>
  <c r="AI29" i="7"/>
  <c r="AH29" i="7"/>
  <c r="AG29" i="7"/>
  <c r="AF29" i="7"/>
  <c r="AJ29" i="7" s="1"/>
  <c r="AC29" i="7"/>
  <c r="AB29" i="7"/>
  <c r="AA29" i="7"/>
  <c r="Z29" i="7"/>
  <c r="AD29" i="7" s="1"/>
  <c r="T29" i="7" s="1"/>
  <c r="AI28" i="7"/>
  <c r="AH28" i="7"/>
  <c r="AG28" i="7"/>
  <c r="AF28" i="7"/>
  <c r="AJ28" i="7" s="1"/>
  <c r="AC28" i="7"/>
  <c r="AB28" i="7"/>
  <c r="AA28" i="7"/>
  <c r="Z28" i="7"/>
  <c r="AD28" i="7" s="1"/>
  <c r="T28" i="7" s="1"/>
  <c r="AI27" i="7"/>
  <c r="AH27" i="7"/>
  <c r="AG27" i="7"/>
  <c r="AF27" i="7"/>
  <c r="AJ27" i="7" s="1"/>
  <c r="AC27" i="7"/>
  <c r="AB27" i="7"/>
  <c r="AA27" i="7"/>
  <c r="Z27" i="7"/>
  <c r="AD27" i="7" s="1"/>
  <c r="T27" i="7" s="1"/>
  <c r="AI26" i="7"/>
  <c r="AH26" i="7"/>
  <c r="AG26" i="7"/>
  <c r="AF26" i="7"/>
  <c r="AJ26" i="7" s="1"/>
  <c r="AC26" i="7"/>
  <c r="AB26" i="7"/>
  <c r="AA26" i="7"/>
  <c r="Z26" i="7"/>
  <c r="AD26" i="7" s="1"/>
  <c r="T26" i="7" s="1"/>
  <c r="AI25" i="7"/>
  <c r="AH25" i="7"/>
  <c r="AG25" i="7"/>
  <c r="AF25" i="7"/>
  <c r="AJ25" i="7" s="1"/>
  <c r="AC25" i="7"/>
  <c r="AB25" i="7"/>
  <c r="AA25" i="7"/>
  <c r="Z25" i="7"/>
  <c r="AD25" i="7" s="1"/>
  <c r="T25" i="7" s="1"/>
  <c r="AI24" i="7"/>
  <c r="AH24" i="7"/>
  <c r="AG24" i="7"/>
  <c r="AF24" i="7"/>
  <c r="AJ24" i="7" s="1"/>
  <c r="AC24" i="7"/>
  <c r="AB24" i="7"/>
  <c r="AA24" i="7"/>
  <c r="Z24" i="7"/>
  <c r="AD24" i="7" s="1"/>
  <c r="T24" i="7" s="1"/>
  <c r="AI23" i="7"/>
  <c r="AH23" i="7"/>
  <c r="AG23" i="7"/>
  <c r="AF23" i="7"/>
  <c r="AJ23" i="7" s="1"/>
  <c r="AC23" i="7"/>
  <c r="AB23" i="7"/>
  <c r="AA23" i="7"/>
  <c r="Z23" i="7"/>
  <c r="AD23" i="7" s="1"/>
  <c r="T23" i="7" s="1"/>
  <c r="AI22" i="7"/>
  <c r="AH22" i="7"/>
  <c r="AG22" i="7"/>
  <c r="AF22" i="7"/>
  <c r="AJ22" i="7" s="1"/>
  <c r="AC22" i="7"/>
  <c r="AB22" i="7"/>
  <c r="AA22" i="7"/>
  <c r="Z22" i="7"/>
  <c r="AD22" i="7" s="1"/>
  <c r="T22" i="7" s="1"/>
  <c r="AI21" i="7"/>
  <c r="AH21" i="7"/>
  <c r="AG21" i="7"/>
  <c r="AF21" i="7"/>
  <c r="AJ21" i="7" s="1"/>
  <c r="AC21" i="7"/>
  <c r="AB21" i="7"/>
  <c r="AA21" i="7"/>
  <c r="Z21" i="7"/>
  <c r="AD21" i="7" s="1"/>
  <c r="T21" i="7" s="1"/>
  <c r="AI20" i="7"/>
  <c r="AH20" i="7"/>
  <c r="AG20" i="7"/>
  <c r="AF20" i="7"/>
  <c r="AJ20" i="7" s="1"/>
  <c r="AC20" i="7"/>
  <c r="AB20" i="7"/>
  <c r="AA20" i="7"/>
  <c r="Z20" i="7"/>
  <c r="AD20" i="7" s="1"/>
  <c r="T20" i="7" s="1"/>
  <c r="AI19" i="7"/>
  <c r="AH19" i="7"/>
  <c r="AG19" i="7"/>
  <c r="AF19" i="7"/>
  <c r="AJ19" i="7" s="1"/>
  <c r="AC19" i="7"/>
  <c r="AB19" i="7"/>
  <c r="AA19" i="7"/>
  <c r="Z19" i="7"/>
  <c r="AD19" i="7" s="1"/>
  <c r="T19" i="7" s="1"/>
  <c r="AI18" i="7"/>
  <c r="AH18" i="7"/>
  <c r="AG18" i="7"/>
  <c r="AF18" i="7"/>
  <c r="AJ18" i="7" s="1"/>
  <c r="AC18" i="7"/>
  <c r="AB18" i="7"/>
  <c r="AA18" i="7"/>
  <c r="Z18" i="7"/>
  <c r="AD18" i="7" s="1"/>
  <c r="T18" i="7" s="1"/>
  <c r="AI17" i="7"/>
  <c r="AH17" i="7"/>
  <c r="AG17" i="7"/>
  <c r="AF17" i="7"/>
  <c r="AJ17" i="7" s="1"/>
  <c r="AC17" i="7"/>
  <c r="AB17" i="7"/>
  <c r="AA17" i="7"/>
  <c r="Z17" i="7"/>
  <c r="AD17" i="7" s="1"/>
  <c r="T17" i="7" s="1"/>
  <c r="AI16" i="7"/>
  <c r="AH16" i="7"/>
  <c r="AG16" i="7"/>
  <c r="AF16" i="7"/>
  <c r="AJ16" i="7" s="1"/>
  <c r="AC16" i="7"/>
  <c r="AB16" i="7"/>
  <c r="AA16" i="7"/>
  <c r="Z16" i="7"/>
  <c r="AD16" i="7" s="1"/>
  <c r="T16" i="7" s="1"/>
  <c r="AI15" i="7"/>
  <c r="AH15" i="7"/>
  <c r="AG15" i="7"/>
  <c r="AF15" i="7"/>
  <c r="AJ15" i="7" s="1"/>
  <c r="AC15" i="7"/>
  <c r="AB15" i="7"/>
  <c r="AA15" i="7"/>
  <c r="Z15" i="7"/>
  <c r="AD15" i="7" s="1"/>
  <c r="T15" i="7" s="1"/>
  <c r="AI14" i="7"/>
  <c r="AH14" i="7"/>
  <c r="AG14" i="7"/>
  <c r="AF14" i="7"/>
  <c r="AJ14" i="7" s="1"/>
  <c r="AC14" i="7"/>
  <c r="AB14" i="7"/>
  <c r="AA14" i="7"/>
  <c r="Z14" i="7"/>
  <c r="AD14" i="7" s="1"/>
  <c r="T14" i="7" s="1"/>
  <c r="AI13" i="7"/>
  <c r="AH13" i="7"/>
  <c r="AG13" i="7"/>
  <c r="AF13" i="7"/>
  <c r="AJ13" i="7" s="1"/>
  <c r="AC13" i="7"/>
  <c r="AB13" i="7"/>
  <c r="AA13" i="7"/>
  <c r="Z13" i="7"/>
  <c r="AD13" i="7" s="1"/>
  <c r="AI12" i="7"/>
  <c r="AH12" i="7"/>
  <c r="AG12" i="7"/>
  <c r="AF12" i="7"/>
  <c r="AJ12" i="7" s="1"/>
  <c r="AC12" i="7"/>
  <c r="AB12" i="7"/>
  <c r="AA12" i="7"/>
  <c r="Z12" i="7"/>
  <c r="AD12" i="7" s="1"/>
  <c r="T12" i="7" s="1"/>
  <c r="AI11" i="7"/>
  <c r="AH11" i="7"/>
  <c r="AG11" i="7"/>
  <c r="AF11" i="7"/>
  <c r="AJ11" i="7" s="1"/>
  <c r="AC11" i="7"/>
  <c r="AB11" i="7"/>
  <c r="AA11" i="7"/>
  <c r="Z11" i="7"/>
  <c r="AD11" i="7" s="1"/>
  <c r="T11" i="7" s="1"/>
  <c r="AI10" i="7"/>
  <c r="AH10" i="7"/>
  <c r="AG10" i="7"/>
  <c r="AF10" i="7"/>
  <c r="AJ10" i="7" s="1"/>
  <c r="AC10" i="7"/>
  <c r="AB10" i="7"/>
  <c r="AA10" i="7"/>
  <c r="Z10" i="7"/>
  <c r="AD10" i="7" s="1"/>
  <c r="AI9" i="7"/>
  <c r="AH9" i="7"/>
  <c r="AG9" i="7"/>
  <c r="AF9" i="7"/>
  <c r="AJ9" i="7" s="1"/>
  <c r="AC9" i="7"/>
  <c r="AB9" i="7"/>
  <c r="AA9" i="7"/>
  <c r="Z9" i="7"/>
  <c r="AD9" i="7" s="1"/>
  <c r="T9" i="7" s="1"/>
  <c r="AI8" i="7"/>
  <c r="AH8" i="7"/>
  <c r="AG8" i="7"/>
  <c r="AF8" i="7"/>
  <c r="AJ8" i="7" s="1"/>
  <c r="AC8" i="7"/>
  <c r="AB8" i="7"/>
  <c r="AA8" i="7"/>
  <c r="Z8" i="7"/>
  <c r="AD8" i="7" s="1"/>
  <c r="T8" i="7" s="1"/>
  <c r="AI7" i="7"/>
  <c r="AH7" i="7"/>
  <c r="AG7" i="7"/>
  <c r="AF7" i="7"/>
  <c r="AJ7" i="7" s="1"/>
  <c r="AC7" i="7"/>
  <c r="AB7" i="7"/>
  <c r="AA7" i="7"/>
  <c r="Z7" i="7"/>
  <c r="AD7" i="7" s="1"/>
  <c r="T7" i="7" s="1"/>
  <c r="AI6" i="7"/>
  <c r="AH6" i="7"/>
  <c r="AG6" i="7"/>
  <c r="AF6" i="7"/>
  <c r="AC6" i="7"/>
  <c r="AB6" i="7"/>
  <c r="AA6" i="7"/>
  <c r="Z6" i="7"/>
  <c r="AI5" i="7"/>
  <c r="AH5" i="7"/>
  <c r="AG5" i="7"/>
  <c r="AF5" i="7"/>
  <c r="AC5" i="7"/>
  <c r="AB5" i="7"/>
  <c r="AA5" i="7"/>
  <c r="Z5" i="7"/>
  <c r="AL25" i="5"/>
  <c r="AK25" i="5"/>
  <c r="AJ25" i="5"/>
  <c r="AI25" i="5"/>
  <c r="AF25" i="5"/>
  <c r="AE25" i="5"/>
  <c r="AD25" i="5"/>
  <c r="AC25" i="5"/>
  <c r="AL24" i="5"/>
  <c r="AK24" i="5"/>
  <c r="AJ24" i="5"/>
  <c r="AI24" i="5"/>
  <c r="AF24" i="5"/>
  <c r="AE24" i="5"/>
  <c r="AD24" i="5"/>
  <c r="AC24" i="5"/>
  <c r="AL23" i="5"/>
  <c r="AK23" i="5"/>
  <c r="AJ23" i="5"/>
  <c r="AI23" i="5"/>
  <c r="AF23" i="5"/>
  <c r="AE23" i="5"/>
  <c r="AD23" i="5"/>
  <c r="AC23" i="5"/>
  <c r="AL22" i="5"/>
  <c r="AK22" i="5"/>
  <c r="AJ22" i="5"/>
  <c r="AI22" i="5"/>
  <c r="AF22" i="5"/>
  <c r="AE22" i="5"/>
  <c r="AD22" i="5"/>
  <c r="AC22" i="5"/>
  <c r="AL21" i="5"/>
  <c r="AK21" i="5"/>
  <c r="AJ21" i="5"/>
  <c r="AI21" i="5"/>
  <c r="AF21" i="5"/>
  <c r="AE21" i="5"/>
  <c r="AD21" i="5"/>
  <c r="AC21" i="5"/>
  <c r="AL20" i="5"/>
  <c r="AK20" i="5"/>
  <c r="AJ20" i="5"/>
  <c r="AI20" i="5"/>
  <c r="AF20" i="5"/>
  <c r="AE20" i="5"/>
  <c r="AD20" i="5"/>
  <c r="AC20" i="5"/>
  <c r="AL19" i="5"/>
  <c r="AK19" i="5"/>
  <c r="AJ19" i="5"/>
  <c r="AI19" i="5"/>
  <c r="AF19" i="5"/>
  <c r="AE19" i="5"/>
  <c r="AD19" i="5"/>
  <c r="AC19" i="5"/>
  <c r="AL18" i="5"/>
  <c r="AK18" i="5"/>
  <c r="AJ18" i="5"/>
  <c r="AI18" i="5"/>
  <c r="AF18" i="5"/>
  <c r="AE18" i="5"/>
  <c r="AD18" i="5"/>
  <c r="AC18" i="5"/>
  <c r="AL17" i="5"/>
  <c r="AK17" i="5"/>
  <c r="AJ17" i="5"/>
  <c r="AI17" i="5"/>
  <c r="AF17" i="5"/>
  <c r="AE17" i="5"/>
  <c r="AD17" i="5"/>
  <c r="AC17" i="5"/>
  <c r="AL16" i="5"/>
  <c r="AK16" i="5"/>
  <c r="AJ16" i="5"/>
  <c r="AI16" i="5"/>
  <c r="AF16" i="5"/>
  <c r="AE16" i="5"/>
  <c r="AD16" i="5"/>
  <c r="AC16" i="5"/>
  <c r="AL15" i="5"/>
  <c r="AK15" i="5"/>
  <c r="AJ15" i="5"/>
  <c r="AI15" i="5"/>
  <c r="AF15" i="5"/>
  <c r="AE15" i="5"/>
  <c r="AD15" i="5"/>
  <c r="AC15" i="5"/>
  <c r="AL14" i="5"/>
  <c r="AK14" i="5"/>
  <c r="AJ14" i="5"/>
  <c r="AI14" i="5"/>
  <c r="AF14" i="5"/>
  <c r="AE14" i="5"/>
  <c r="AD14" i="5"/>
  <c r="AC14" i="5"/>
  <c r="AL13" i="5"/>
  <c r="AK13" i="5"/>
  <c r="AJ13" i="5"/>
  <c r="AI13" i="5"/>
  <c r="AF13" i="5"/>
  <c r="AE13" i="5"/>
  <c r="AD13" i="5"/>
  <c r="AC13" i="5"/>
  <c r="AL12" i="5"/>
  <c r="AK12" i="5"/>
  <c r="AJ12" i="5"/>
  <c r="AI12" i="5"/>
  <c r="AF12" i="5"/>
  <c r="AE12" i="5"/>
  <c r="AD12" i="5"/>
  <c r="AC12" i="5"/>
  <c r="AL11" i="5"/>
  <c r="AK11" i="5"/>
  <c r="AJ11" i="5"/>
  <c r="AI11" i="5"/>
  <c r="AF11" i="5"/>
  <c r="AE11" i="5"/>
  <c r="AD11" i="5"/>
  <c r="AC11" i="5"/>
  <c r="AL10" i="5"/>
  <c r="AK10" i="5"/>
  <c r="AJ10" i="5"/>
  <c r="AI10" i="5"/>
  <c r="AF10" i="5"/>
  <c r="AE10" i="5"/>
  <c r="AD10" i="5"/>
  <c r="AC10" i="5"/>
  <c r="AL9" i="5"/>
  <c r="AK9" i="5"/>
  <c r="AJ9" i="5"/>
  <c r="AI9" i="5"/>
  <c r="AF9" i="5"/>
  <c r="AE9" i="5"/>
  <c r="AD9" i="5"/>
  <c r="AC9" i="5"/>
  <c r="AL8" i="5"/>
  <c r="AK8" i="5"/>
  <c r="AJ8" i="5"/>
  <c r="AI8" i="5"/>
  <c r="AF8" i="5"/>
  <c r="AE8" i="5"/>
  <c r="AD8" i="5"/>
  <c r="AC8" i="5"/>
  <c r="AL7" i="5"/>
  <c r="AK7" i="5"/>
  <c r="AJ7" i="5"/>
  <c r="AI7" i="5"/>
  <c r="AF7" i="5"/>
  <c r="AE7" i="5"/>
  <c r="AD7" i="5"/>
  <c r="AC7" i="5"/>
  <c r="AL6" i="5"/>
  <c r="AK6" i="5"/>
  <c r="AJ6" i="5"/>
  <c r="AI6" i="5"/>
  <c r="AF6" i="5"/>
  <c r="AE6" i="5"/>
  <c r="AD6" i="5"/>
  <c r="AC6" i="5"/>
  <c r="Z287" i="4"/>
  <c r="Z286" i="4"/>
  <c r="Z285" i="4"/>
  <c r="Z284" i="4"/>
  <c r="Z283" i="4"/>
  <c r="BJ271" i="4"/>
  <c r="BI271" i="4"/>
  <c r="BH271" i="4"/>
  <c r="BG271" i="4"/>
  <c r="BF271" i="4"/>
  <c r="BE271" i="4"/>
  <c r="BB271" i="4"/>
  <c r="BA271" i="4"/>
  <c r="AZ271" i="4"/>
  <c r="AY271" i="4"/>
  <c r="AX271" i="4"/>
  <c r="AW271" i="4"/>
  <c r="BJ270" i="4"/>
  <c r="BI270" i="4"/>
  <c r="BH270" i="4"/>
  <c r="BG270" i="4"/>
  <c r="BF270" i="4"/>
  <c r="BE270" i="4"/>
  <c r="BB270" i="4"/>
  <c r="BA270" i="4"/>
  <c r="AZ270" i="4"/>
  <c r="AY270" i="4"/>
  <c r="AX270" i="4"/>
  <c r="AW270" i="4"/>
  <c r="BJ269" i="4"/>
  <c r="BI269" i="4"/>
  <c r="BH269" i="4"/>
  <c r="BG269" i="4"/>
  <c r="BF269" i="4"/>
  <c r="BE269" i="4"/>
  <c r="BB269" i="4"/>
  <c r="BA269" i="4"/>
  <c r="AZ269" i="4"/>
  <c r="AY269" i="4"/>
  <c r="AX269" i="4"/>
  <c r="AW269" i="4"/>
  <c r="BJ268" i="4"/>
  <c r="BI268" i="4"/>
  <c r="BH268" i="4"/>
  <c r="BG268" i="4"/>
  <c r="BF268" i="4"/>
  <c r="BE268" i="4"/>
  <c r="BB268" i="4"/>
  <c r="BA268" i="4"/>
  <c r="AZ268" i="4"/>
  <c r="AY268" i="4"/>
  <c r="AX268" i="4"/>
  <c r="AW268" i="4"/>
  <c r="BJ267" i="4"/>
  <c r="BI267" i="4"/>
  <c r="BH267" i="4"/>
  <c r="BG267" i="4"/>
  <c r="BF267" i="4"/>
  <c r="BE267" i="4"/>
  <c r="BB267" i="4"/>
  <c r="BA267" i="4"/>
  <c r="AZ267" i="4"/>
  <c r="AY267" i="4"/>
  <c r="AX267" i="4"/>
  <c r="AW267" i="4"/>
  <c r="BJ266" i="4"/>
  <c r="BI266" i="4"/>
  <c r="BH266" i="4"/>
  <c r="BG266" i="4"/>
  <c r="BF266" i="4"/>
  <c r="BE266" i="4"/>
  <c r="BB266" i="4"/>
  <c r="BA266" i="4"/>
  <c r="AZ266" i="4"/>
  <c r="AY266" i="4"/>
  <c r="AX266" i="4"/>
  <c r="AW266" i="4"/>
  <c r="BJ265" i="4"/>
  <c r="BI265" i="4"/>
  <c r="BH265" i="4"/>
  <c r="BG265" i="4"/>
  <c r="BF265" i="4"/>
  <c r="BE265" i="4"/>
  <c r="BB265" i="4"/>
  <c r="BA265" i="4"/>
  <c r="AZ265" i="4"/>
  <c r="AY265" i="4"/>
  <c r="AX265" i="4"/>
  <c r="AW265" i="4"/>
  <c r="BJ264" i="4"/>
  <c r="BI264" i="4"/>
  <c r="BH264" i="4"/>
  <c r="BG264" i="4"/>
  <c r="BF264" i="4"/>
  <c r="BE264" i="4"/>
  <c r="BB264" i="4"/>
  <c r="BA264" i="4"/>
  <c r="AZ264" i="4"/>
  <c r="AY264" i="4"/>
  <c r="AX264" i="4"/>
  <c r="AW264" i="4"/>
  <c r="BJ263" i="4"/>
  <c r="BI263" i="4"/>
  <c r="BH263" i="4"/>
  <c r="BG263" i="4"/>
  <c r="BF263" i="4"/>
  <c r="BE263" i="4"/>
  <c r="BB263" i="4"/>
  <c r="BA263" i="4"/>
  <c r="AZ263" i="4"/>
  <c r="AY263" i="4"/>
  <c r="AX263" i="4"/>
  <c r="AW263" i="4"/>
  <c r="BJ262" i="4"/>
  <c r="BI262" i="4"/>
  <c r="BH262" i="4"/>
  <c r="BG262" i="4"/>
  <c r="BF262" i="4"/>
  <c r="BE262" i="4"/>
  <c r="BB262" i="4"/>
  <c r="BA262" i="4"/>
  <c r="AZ262" i="4"/>
  <c r="AY262" i="4"/>
  <c r="AX262" i="4"/>
  <c r="AW262" i="4"/>
  <c r="BJ261" i="4"/>
  <c r="BI261" i="4"/>
  <c r="BH261" i="4"/>
  <c r="BG261" i="4"/>
  <c r="BF261" i="4"/>
  <c r="BE261" i="4"/>
  <c r="BB261" i="4"/>
  <c r="BA261" i="4"/>
  <c r="AZ261" i="4"/>
  <c r="AY261" i="4"/>
  <c r="AX261" i="4"/>
  <c r="AW261" i="4"/>
  <c r="BJ260" i="4"/>
  <c r="BI260" i="4"/>
  <c r="BH260" i="4"/>
  <c r="BG260" i="4"/>
  <c r="BF260" i="4"/>
  <c r="BE260" i="4"/>
  <c r="BB260" i="4"/>
  <c r="BA260" i="4"/>
  <c r="AZ260" i="4"/>
  <c r="AY260" i="4"/>
  <c r="AX260" i="4"/>
  <c r="AW260" i="4"/>
  <c r="BJ259" i="4"/>
  <c r="BI259" i="4"/>
  <c r="BH259" i="4"/>
  <c r="BG259" i="4"/>
  <c r="BF259" i="4"/>
  <c r="BE259" i="4"/>
  <c r="BB259" i="4"/>
  <c r="BA259" i="4"/>
  <c r="AZ259" i="4"/>
  <c r="AY259" i="4"/>
  <c r="AX259" i="4"/>
  <c r="AW259" i="4"/>
  <c r="BJ258" i="4"/>
  <c r="BI258" i="4"/>
  <c r="BH258" i="4"/>
  <c r="BG258" i="4"/>
  <c r="BF258" i="4"/>
  <c r="BE258" i="4"/>
  <c r="BB258" i="4"/>
  <c r="BA258" i="4"/>
  <c r="AZ258" i="4"/>
  <c r="AY258" i="4"/>
  <c r="AX258" i="4"/>
  <c r="AW258" i="4"/>
  <c r="BJ257" i="4"/>
  <c r="BI257" i="4"/>
  <c r="BH257" i="4"/>
  <c r="BG257" i="4"/>
  <c r="BF257" i="4"/>
  <c r="BE257" i="4"/>
  <c r="BB257" i="4"/>
  <c r="BA257" i="4"/>
  <c r="AZ257" i="4"/>
  <c r="AY257" i="4"/>
  <c r="AX257" i="4"/>
  <c r="AW257" i="4"/>
  <c r="BJ256" i="4"/>
  <c r="BI256" i="4"/>
  <c r="BH256" i="4"/>
  <c r="BG256" i="4"/>
  <c r="BF256" i="4"/>
  <c r="BE256" i="4"/>
  <c r="BB256" i="4"/>
  <c r="BA256" i="4"/>
  <c r="AZ256" i="4"/>
  <c r="AY256" i="4"/>
  <c r="AX256" i="4"/>
  <c r="AW256" i="4"/>
  <c r="BJ255" i="4"/>
  <c r="BI255" i="4"/>
  <c r="BH255" i="4"/>
  <c r="BG255" i="4"/>
  <c r="BF255" i="4"/>
  <c r="BE255" i="4"/>
  <c r="BB255" i="4"/>
  <c r="BA255" i="4"/>
  <c r="AZ255" i="4"/>
  <c r="AY255" i="4"/>
  <c r="AX255" i="4"/>
  <c r="AW255" i="4"/>
  <c r="BJ254" i="4"/>
  <c r="BI254" i="4"/>
  <c r="BH254" i="4"/>
  <c r="BG254" i="4"/>
  <c r="BF254" i="4"/>
  <c r="BE254" i="4"/>
  <c r="BB254" i="4"/>
  <c r="BA254" i="4"/>
  <c r="AZ254" i="4"/>
  <c r="AY254" i="4"/>
  <c r="AX254" i="4"/>
  <c r="AW254" i="4"/>
  <c r="BJ253" i="4"/>
  <c r="BI253" i="4"/>
  <c r="BH253" i="4"/>
  <c r="BG253" i="4"/>
  <c r="BF253" i="4"/>
  <c r="BE253" i="4"/>
  <c r="BB253" i="4"/>
  <c r="BA253" i="4"/>
  <c r="AZ253" i="4"/>
  <c r="AY253" i="4"/>
  <c r="AX253" i="4"/>
  <c r="AW253" i="4"/>
  <c r="BJ252" i="4"/>
  <c r="BI252" i="4"/>
  <c r="BH252" i="4"/>
  <c r="BG252" i="4"/>
  <c r="BF252" i="4"/>
  <c r="BE252" i="4"/>
  <c r="BB252" i="4"/>
  <c r="BA252" i="4"/>
  <c r="AZ252" i="4"/>
  <c r="AY252" i="4"/>
  <c r="AX252" i="4"/>
  <c r="AW252" i="4"/>
  <c r="BJ251" i="4"/>
  <c r="BI251" i="4"/>
  <c r="BH251" i="4"/>
  <c r="BG251" i="4"/>
  <c r="BF251" i="4"/>
  <c r="BE251" i="4"/>
  <c r="BB251" i="4"/>
  <c r="BA251" i="4"/>
  <c r="AZ251" i="4"/>
  <c r="AY251" i="4"/>
  <c r="AX251" i="4"/>
  <c r="AW251" i="4"/>
  <c r="BJ250" i="4"/>
  <c r="BI250" i="4"/>
  <c r="BH250" i="4"/>
  <c r="BG250" i="4"/>
  <c r="BF250" i="4"/>
  <c r="BE250" i="4"/>
  <c r="BB250" i="4"/>
  <c r="BA250" i="4"/>
  <c r="AZ250" i="4"/>
  <c r="AY250" i="4"/>
  <c r="AX250" i="4"/>
  <c r="AW250" i="4"/>
  <c r="BJ249" i="4"/>
  <c r="BI249" i="4"/>
  <c r="BH249" i="4"/>
  <c r="BG249" i="4"/>
  <c r="BF249" i="4"/>
  <c r="BE249" i="4"/>
  <c r="BB249" i="4"/>
  <c r="BA249" i="4"/>
  <c r="AZ249" i="4"/>
  <c r="AY249" i="4"/>
  <c r="AX249" i="4"/>
  <c r="AW249" i="4"/>
  <c r="BJ248" i="4"/>
  <c r="BI248" i="4"/>
  <c r="BH248" i="4"/>
  <c r="BG248" i="4"/>
  <c r="BF248" i="4"/>
  <c r="BE248" i="4"/>
  <c r="BB248" i="4"/>
  <c r="BA248" i="4"/>
  <c r="AZ248" i="4"/>
  <c r="AY248" i="4"/>
  <c r="AX248" i="4"/>
  <c r="AW248" i="4"/>
  <c r="BJ247" i="4"/>
  <c r="BI247" i="4"/>
  <c r="BH247" i="4"/>
  <c r="BG247" i="4"/>
  <c r="BF247" i="4"/>
  <c r="BE247" i="4"/>
  <c r="BB247" i="4"/>
  <c r="BA247" i="4"/>
  <c r="AZ247" i="4"/>
  <c r="AY247" i="4"/>
  <c r="AX247" i="4"/>
  <c r="AW247" i="4"/>
  <c r="BJ246" i="4"/>
  <c r="BI246" i="4"/>
  <c r="BH246" i="4"/>
  <c r="BG246" i="4"/>
  <c r="BF246" i="4"/>
  <c r="BE246" i="4"/>
  <c r="BB246" i="4"/>
  <c r="BA246" i="4"/>
  <c r="AZ246" i="4"/>
  <c r="AY246" i="4"/>
  <c r="AX246" i="4"/>
  <c r="AW246" i="4"/>
  <c r="BJ245" i="4"/>
  <c r="BI245" i="4"/>
  <c r="BH245" i="4"/>
  <c r="BG245" i="4"/>
  <c r="BF245" i="4"/>
  <c r="BE245" i="4"/>
  <c r="BB245" i="4"/>
  <c r="BA245" i="4"/>
  <c r="AZ245" i="4"/>
  <c r="AY245" i="4"/>
  <c r="AX245" i="4"/>
  <c r="AW245" i="4"/>
  <c r="BJ244" i="4"/>
  <c r="BI244" i="4"/>
  <c r="BH244" i="4"/>
  <c r="BG244" i="4"/>
  <c r="BF244" i="4"/>
  <c r="BE244" i="4"/>
  <c r="BB244" i="4"/>
  <c r="BA244" i="4"/>
  <c r="AZ244" i="4"/>
  <c r="AY244" i="4"/>
  <c r="AX244" i="4"/>
  <c r="AW244" i="4"/>
  <c r="BJ243" i="4"/>
  <c r="BI243" i="4"/>
  <c r="BH243" i="4"/>
  <c r="BG243" i="4"/>
  <c r="BF243" i="4"/>
  <c r="BK243" i="4" s="1"/>
  <c r="BE243" i="4"/>
  <c r="BB243" i="4"/>
  <c r="BA243" i="4"/>
  <c r="AZ243" i="4"/>
  <c r="AY243" i="4"/>
  <c r="AX243" i="4"/>
  <c r="AW243" i="4"/>
  <c r="BJ242" i="4"/>
  <c r="BI242" i="4"/>
  <c r="BH242" i="4"/>
  <c r="BG242" i="4"/>
  <c r="BF242" i="4"/>
  <c r="BE242" i="4"/>
  <c r="BB242" i="4"/>
  <c r="BA242" i="4"/>
  <c r="AZ242" i="4"/>
  <c r="AY242" i="4"/>
  <c r="AX242" i="4"/>
  <c r="AW242" i="4"/>
  <c r="BJ241" i="4"/>
  <c r="BI241" i="4"/>
  <c r="BH241" i="4"/>
  <c r="BG241" i="4"/>
  <c r="BF241" i="4"/>
  <c r="BE241" i="4"/>
  <c r="BB241" i="4"/>
  <c r="BA241" i="4"/>
  <c r="AZ241" i="4"/>
  <c r="AY241" i="4"/>
  <c r="AX241" i="4"/>
  <c r="AW241" i="4"/>
  <c r="BJ240" i="4"/>
  <c r="BI240" i="4"/>
  <c r="BH240" i="4"/>
  <c r="BG240" i="4"/>
  <c r="BF240" i="4"/>
  <c r="BE240" i="4"/>
  <c r="BB240" i="4"/>
  <c r="BA240" i="4"/>
  <c r="AZ240" i="4"/>
  <c r="AY240" i="4"/>
  <c r="AX240" i="4"/>
  <c r="AW240" i="4"/>
  <c r="BJ239" i="4"/>
  <c r="BI239" i="4"/>
  <c r="BH239" i="4"/>
  <c r="BG239" i="4"/>
  <c r="BF239" i="4"/>
  <c r="BE239" i="4"/>
  <c r="BB239" i="4"/>
  <c r="BA239" i="4"/>
  <c r="AZ239" i="4"/>
  <c r="AY239" i="4"/>
  <c r="AX239" i="4"/>
  <c r="AW239" i="4"/>
  <c r="BJ238" i="4"/>
  <c r="BI238" i="4"/>
  <c r="BH238" i="4"/>
  <c r="BG238" i="4"/>
  <c r="BF238" i="4"/>
  <c r="BE238" i="4"/>
  <c r="BB238" i="4"/>
  <c r="BA238" i="4"/>
  <c r="AZ238" i="4"/>
  <c r="AY238" i="4"/>
  <c r="AX238" i="4"/>
  <c r="AW238" i="4"/>
  <c r="BJ237" i="4"/>
  <c r="BI237" i="4"/>
  <c r="BH237" i="4"/>
  <c r="BG237" i="4"/>
  <c r="BF237" i="4"/>
  <c r="BE237" i="4"/>
  <c r="BB237" i="4"/>
  <c r="BA237" i="4"/>
  <c r="AZ237" i="4"/>
  <c r="AY237" i="4"/>
  <c r="AX237" i="4"/>
  <c r="AW237" i="4"/>
  <c r="BJ236" i="4"/>
  <c r="BI236" i="4"/>
  <c r="BH236" i="4"/>
  <c r="BG236" i="4"/>
  <c r="BF236" i="4"/>
  <c r="BE236" i="4"/>
  <c r="BB236" i="4"/>
  <c r="BA236" i="4"/>
  <c r="AZ236" i="4"/>
  <c r="AY236" i="4"/>
  <c r="AX236" i="4"/>
  <c r="AW236" i="4"/>
  <c r="BJ235" i="4"/>
  <c r="BI235" i="4"/>
  <c r="BH235" i="4"/>
  <c r="BG235" i="4"/>
  <c r="BF235" i="4"/>
  <c r="BE235" i="4"/>
  <c r="BB235" i="4"/>
  <c r="BA235" i="4"/>
  <c r="AZ235" i="4"/>
  <c r="AY235" i="4"/>
  <c r="AX235" i="4"/>
  <c r="AW235" i="4"/>
  <c r="BJ234" i="4"/>
  <c r="BI234" i="4"/>
  <c r="BH234" i="4"/>
  <c r="BG234" i="4"/>
  <c r="BF234" i="4"/>
  <c r="BE234" i="4"/>
  <c r="BB234" i="4"/>
  <c r="BA234" i="4"/>
  <c r="AZ234" i="4"/>
  <c r="AY234" i="4"/>
  <c r="AX234" i="4"/>
  <c r="AW234" i="4"/>
  <c r="BJ233" i="4"/>
  <c r="BI233" i="4"/>
  <c r="BH233" i="4"/>
  <c r="BG233" i="4"/>
  <c r="BF233" i="4"/>
  <c r="BE233" i="4"/>
  <c r="BB233" i="4"/>
  <c r="BA233" i="4"/>
  <c r="AZ233" i="4"/>
  <c r="AY233" i="4"/>
  <c r="AX233" i="4"/>
  <c r="AW233" i="4"/>
  <c r="BJ232" i="4"/>
  <c r="BI232" i="4"/>
  <c r="BH232" i="4"/>
  <c r="BG232" i="4"/>
  <c r="BF232" i="4"/>
  <c r="BE232" i="4"/>
  <c r="BB232" i="4"/>
  <c r="BA232" i="4"/>
  <c r="AZ232" i="4"/>
  <c r="AY232" i="4"/>
  <c r="AX232" i="4"/>
  <c r="AW232" i="4"/>
  <c r="BJ231" i="4"/>
  <c r="BI231" i="4"/>
  <c r="BH231" i="4"/>
  <c r="BG231" i="4"/>
  <c r="BF231" i="4"/>
  <c r="BE231" i="4"/>
  <c r="BB231" i="4"/>
  <c r="BA231" i="4"/>
  <c r="AZ231" i="4"/>
  <c r="AY231" i="4"/>
  <c r="AX231" i="4"/>
  <c r="AW231" i="4"/>
  <c r="BJ230" i="4"/>
  <c r="BI230" i="4"/>
  <c r="BH230" i="4"/>
  <c r="BG230" i="4"/>
  <c r="BF230" i="4"/>
  <c r="BE230" i="4"/>
  <c r="BB230" i="4"/>
  <c r="BA230" i="4"/>
  <c r="AZ230" i="4"/>
  <c r="AY230" i="4"/>
  <c r="AX230" i="4"/>
  <c r="AW230" i="4"/>
  <c r="BJ229" i="4"/>
  <c r="BI229" i="4"/>
  <c r="BH229" i="4"/>
  <c r="BG229" i="4"/>
  <c r="BF229" i="4"/>
  <c r="BE229" i="4"/>
  <c r="BB229" i="4"/>
  <c r="BA229" i="4"/>
  <c r="AZ229" i="4"/>
  <c r="AY229" i="4"/>
  <c r="AX229" i="4"/>
  <c r="AW229" i="4"/>
  <c r="BJ228" i="4"/>
  <c r="BI228" i="4"/>
  <c r="BH228" i="4"/>
  <c r="BG228" i="4"/>
  <c r="BF228" i="4"/>
  <c r="BE228" i="4"/>
  <c r="BB228" i="4"/>
  <c r="BA228" i="4"/>
  <c r="AZ228" i="4"/>
  <c r="AY228" i="4"/>
  <c r="AX228" i="4"/>
  <c r="AW228" i="4"/>
  <c r="BJ227" i="4"/>
  <c r="BI227" i="4"/>
  <c r="BH227" i="4"/>
  <c r="BG227" i="4"/>
  <c r="BF227" i="4"/>
  <c r="BE227" i="4"/>
  <c r="BB227" i="4"/>
  <c r="BA227" i="4"/>
  <c r="AZ227" i="4"/>
  <c r="AY227" i="4"/>
  <c r="AX227" i="4"/>
  <c r="AW227" i="4"/>
  <c r="BJ226" i="4"/>
  <c r="BI226" i="4"/>
  <c r="BH226" i="4"/>
  <c r="BG226" i="4"/>
  <c r="BF226" i="4"/>
  <c r="BE226" i="4"/>
  <c r="BB226" i="4"/>
  <c r="BA226" i="4"/>
  <c r="AZ226" i="4"/>
  <c r="AY226" i="4"/>
  <c r="AX226" i="4"/>
  <c r="AW226" i="4"/>
  <c r="BJ225" i="4"/>
  <c r="BI225" i="4"/>
  <c r="BH225" i="4"/>
  <c r="BG225" i="4"/>
  <c r="BF225" i="4"/>
  <c r="BE225" i="4"/>
  <c r="BB225" i="4"/>
  <c r="BA225" i="4"/>
  <c r="AZ225" i="4"/>
  <c r="AY225" i="4"/>
  <c r="AX225" i="4"/>
  <c r="AW225" i="4"/>
  <c r="BJ224" i="4"/>
  <c r="BI224" i="4"/>
  <c r="BH224" i="4"/>
  <c r="BG224" i="4"/>
  <c r="BF224" i="4"/>
  <c r="BE224" i="4"/>
  <c r="BB224" i="4"/>
  <c r="BA224" i="4"/>
  <c r="AZ224" i="4"/>
  <c r="AY224" i="4"/>
  <c r="AX224" i="4"/>
  <c r="AW224" i="4"/>
  <c r="BJ223" i="4"/>
  <c r="BI223" i="4"/>
  <c r="BH223" i="4"/>
  <c r="BG223" i="4"/>
  <c r="BF223" i="4"/>
  <c r="BE223" i="4"/>
  <c r="BB223" i="4"/>
  <c r="BA223" i="4"/>
  <c r="AZ223" i="4"/>
  <c r="AY223" i="4"/>
  <c r="AX223" i="4"/>
  <c r="AW223" i="4"/>
  <c r="BJ222" i="4"/>
  <c r="BI222" i="4"/>
  <c r="BH222" i="4"/>
  <c r="BG222" i="4"/>
  <c r="BF222" i="4"/>
  <c r="BE222" i="4"/>
  <c r="BB222" i="4"/>
  <c r="BA222" i="4"/>
  <c r="AZ222" i="4"/>
  <c r="AY222" i="4"/>
  <c r="AX222" i="4"/>
  <c r="AW222" i="4"/>
  <c r="BJ221" i="4"/>
  <c r="BI221" i="4"/>
  <c r="BH221" i="4"/>
  <c r="BG221" i="4"/>
  <c r="BF221" i="4"/>
  <c r="BE221" i="4"/>
  <c r="BB221" i="4"/>
  <c r="BA221" i="4"/>
  <c r="AZ221" i="4"/>
  <c r="AY221" i="4"/>
  <c r="AX221" i="4"/>
  <c r="AW221" i="4"/>
  <c r="BJ220" i="4"/>
  <c r="BI220" i="4"/>
  <c r="BH220" i="4"/>
  <c r="BG220" i="4"/>
  <c r="BF220" i="4"/>
  <c r="BE220" i="4"/>
  <c r="BB220" i="4"/>
  <c r="BA220" i="4"/>
  <c r="AZ220" i="4"/>
  <c r="AY220" i="4"/>
  <c r="AX220" i="4"/>
  <c r="AW220" i="4"/>
  <c r="BJ219" i="4"/>
  <c r="BI219" i="4"/>
  <c r="BH219" i="4"/>
  <c r="BG219" i="4"/>
  <c r="BF219" i="4"/>
  <c r="BE219" i="4"/>
  <c r="BB219" i="4"/>
  <c r="BA219" i="4"/>
  <c r="AZ219" i="4"/>
  <c r="AY219" i="4"/>
  <c r="AX219" i="4"/>
  <c r="AW219" i="4"/>
  <c r="BJ218" i="4"/>
  <c r="BI218" i="4"/>
  <c r="BH218" i="4"/>
  <c r="BG218" i="4"/>
  <c r="BF218" i="4"/>
  <c r="BE218" i="4"/>
  <c r="BB218" i="4"/>
  <c r="BA218" i="4"/>
  <c r="AZ218" i="4"/>
  <c r="AY218" i="4"/>
  <c r="AX218" i="4"/>
  <c r="AW218" i="4"/>
  <c r="BJ217" i="4"/>
  <c r="BI217" i="4"/>
  <c r="BH217" i="4"/>
  <c r="BG217" i="4"/>
  <c r="BF217" i="4"/>
  <c r="BE217" i="4"/>
  <c r="BB217" i="4"/>
  <c r="BA217" i="4"/>
  <c r="AZ217" i="4"/>
  <c r="AY217" i="4"/>
  <c r="AX217" i="4"/>
  <c r="AW217" i="4"/>
  <c r="BJ216" i="4"/>
  <c r="BI216" i="4"/>
  <c r="BH216" i="4"/>
  <c r="BG216" i="4"/>
  <c r="BF216" i="4"/>
  <c r="BE216" i="4"/>
  <c r="BB216" i="4"/>
  <c r="BA216" i="4"/>
  <c r="AZ216" i="4"/>
  <c r="AY216" i="4"/>
  <c r="AX216" i="4"/>
  <c r="AW216" i="4"/>
  <c r="BJ215" i="4"/>
  <c r="BI215" i="4"/>
  <c r="BH215" i="4"/>
  <c r="BG215" i="4"/>
  <c r="BF215" i="4"/>
  <c r="BE215" i="4"/>
  <c r="BB215" i="4"/>
  <c r="BA215" i="4"/>
  <c r="AZ215" i="4"/>
  <c r="AY215" i="4"/>
  <c r="AX215" i="4"/>
  <c r="AW215" i="4"/>
  <c r="BJ214" i="4"/>
  <c r="BI214" i="4"/>
  <c r="BH214" i="4"/>
  <c r="BG214" i="4"/>
  <c r="BF214" i="4"/>
  <c r="BE214" i="4"/>
  <c r="BB214" i="4"/>
  <c r="BA214" i="4"/>
  <c r="AZ214" i="4"/>
  <c r="AY214" i="4"/>
  <c r="AX214" i="4"/>
  <c r="AW214" i="4"/>
  <c r="BJ213" i="4"/>
  <c r="BI213" i="4"/>
  <c r="BH213" i="4"/>
  <c r="BG213" i="4"/>
  <c r="BF213" i="4"/>
  <c r="BE213" i="4"/>
  <c r="BB213" i="4"/>
  <c r="BA213" i="4"/>
  <c r="AZ213" i="4"/>
  <c r="AY213" i="4"/>
  <c r="AX213" i="4"/>
  <c r="AW213" i="4"/>
  <c r="BJ212" i="4"/>
  <c r="BI212" i="4"/>
  <c r="BH212" i="4"/>
  <c r="BG212" i="4"/>
  <c r="BF212" i="4"/>
  <c r="BE212" i="4"/>
  <c r="BB212" i="4"/>
  <c r="BA212" i="4"/>
  <c r="AZ212" i="4"/>
  <c r="AY212" i="4"/>
  <c r="AX212" i="4"/>
  <c r="AW212" i="4"/>
  <c r="BJ211" i="4"/>
  <c r="BI211" i="4"/>
  <c r="BH211" i="4"/>
  <c r="BG211" i="4"/>
  <c r="BF211" i="4"/>
  <c r="BE211" i="4"/>
  <c r="BB211" i="4"/>
  <c r="BA211" i="4"/>
  <c r="AZ211" i="4"/>
  <c r="AY211" i="4"/>
  <c r="AX211" i="4"/>
  <c r="AW211" i="4"/>
  <c r="BJ210" i="4"/>
  <c r="BI210" i="4"/>
  <c r="BH210" i="4"/>
  <c r="BG210" i="4"/>
  <c r="BF210" i="4"/>
  <c r="BE210" i="4"/>
  <c r="BB210" i="4"/>
  <c r="BA210" i="4"/>
  <c r="AZ210" i="4"/>
  <c r="AY210" i="4"/>
  <c r="AX210" i="4"/>
  <c r="AW210" i="4"/>
  <c r="BJ209" i="4"/>
  <c r="BI209" i="4"/>
  <c r="BH209" i="4"/>
  <c r="BG209" i="4"/>
  <c r="BF209" i="4"/>
  <c r="BE209" i="4"/>
  <c r="BB209" i="4"/>
  <c r="BA209" i="4"/>
  <c r="AZ209" i="4"/>
  <c r="AY209" i="4"/>
  <c r="AX209" i="4"/>
  <c r="AW209" i="4"/>
  <c r="BJ208" i="4"/>
  <c r="BI208" i="4"/>
  <c r="BH208" i="4"/>
  <c r="BG208" i="4"/>
  <c r="BF208" i="4"/>
  <c r="BE208" i="4"/>
  <c r="BB208" i="4"/>
  <c r="BA208" i="4"/>
  <c r="AZ208" i="4"/>
  <c r="AY208" i="4"/>
  <c r="AX208" i="4"/>
  <c r="AW208" i="4"/>
  <c r="BJ207" i="4"/>
  <c r="BI207" i="4"/>
  <c r="BH207" i="4"/>
  <c r="BG207" i="4"/>
  <c r="BF207" i="4"/>
  <c r="BE207" i="4"/>
  <c r="BB207" i="4"/>
  <c r="BA207" i="4"/>
  <c r="AZ207" i="4"/>
  <c r="AY207" i="4"/>
  <c r="AX207" i="4"/>
  <c r="AW207" i="4"/>
  <c r="BJ206" i="4"/>
  <c r="BI206" i="4"/>
  <c r="BH206" i="4"/>
  <c r="BG206" i="4"/>
  <c r="BF206" i="4"/>
  <c r="BE206" i="4"/>
  <c r="BB206" i="4"/>
  <c r="BA206" i="4"/>
  <c r="AZ206" i="4"/>
  <c r="AY206" i="4"/>
  <c r="AX206" i="4"/>
  <c r="AW206" i="4"/>
  <c r="BJ205" i="4"/>
  <c r="BI205" i="4"/>
  <c r="BH205" i="4"/>
  <c r="BG205" i="4"/>
  <c r="BF205" i="4"/>
  <c r="BE205" i="4"/>
  <c r="BB205" i="4"/>
  <c r="BA205" i="4"/>
  <c r="AZ205" i="4"/>
  <c r="AY205" i="4"/>
  <c r="AX205" i="4"/>
  <c r="AW205" i="4"/>
  <c r="BJ204" i="4"/>
  <c r="BI204" i="4"/>
  <c r="BH204" i="4"/>
  <c r="BG204" i="4"/>
  <c r="BF204" i="4"/>
  <c r="BE204" i="4"/>
  <c r="BB204" i="4"/>
  <c r="BA204" i="4"/>
  <c r="AZ204" i="4"/>
  <c r="AY204" i="4"/>
  <c r="AX204" i="4"/>
  <c r="AW204" i="4"/>
  <c r="BJ203" i="4"/>
  <c r="BI203" i="4"/>
  <c r="BH203" i="4"/>
  <c r="BG203" i="4"/>
  <c r="BF203" i="4"/>
  <c r="BE203" i="4"/>
  <c r="BB203" i="4"/>
  <c r="BA203" i="4"/>
  <c r="AZ203" i="4"/>
  <c r="AY203" i="4"/>
  <c r="AX203" i="4"/>
  <c r="AW203" i="4"/>
  <c r="BJ202" i="4"/>
  <c r="BI202" i="4"/>
  <c r="BH202" i="4"/>
  <c r="BG202" i="4"/>
  <c r="BF202" i="4"/>
  <c r="BE202" i="4"/>
  <c r="BB202" i="4"/>
  <c r="BA202" i="4"/>
  <c r="AZ202" i="4"/>
  <c r="AY202" i="4"/>
  <c r="AX202" i="4"/>
  <c r="AW202" i="4"/>
  <c r="BJ201" i="4"/>
  <c r="BI201" i="4"/>
  <c r="BH201" i="4"/>
  <c r="BG201" i="4"/>
  <c r="BF201" i="4"/>
  <c r="BE201" i="4"/>
  <c r="BB201" i="4"/>
  <c r="BA201" i="4"/>
  <c r="AZ201" i="4"/>
  <c r="AY201" i="4"/>
  <c r="AX201" i="4"/>
  <c r="AW201" i="4"/>
  <c r="BJ200" i="4"/>
  <c r="BI200" i="4"/>
  <c r="BH200" i="4"/>
  <c r="BG200" i="4"/>
  <c r="BF200" i="4"/>
  <c r="BE200" i="4"/>
  <c r="BB200" i="4"/>
  <c r="BA200" i="4"/>
  <c r="AZ200" i="4"/>
  <c r="AY200" i="4"/>
  <c r="AX200" i="4"/>
  <c r="AW200" i="4"/>
  <c r="BJ199" i="4"/>
  <c r="BI199" i="4"/>
  <c r="BH199" i="4"/>
  <c r="BG199" i="4"/>
  <c r="BF199" i="4"/>
  <c r="BE199" i="4"/>
  <c r="BB199" i="4"/>
  <c r="BA199" i="4"/>
  <c r="AZ199" i="4"/>
  <c r="AY199" i="4"/>
  <c r="AX199" i="4"/>
  <c r="AW199" i="4"/>
  <c r="BJ198" i="4"/>
  <c r="BI198" i="4"/>
  <c r="BH198" i="4"/>
  <c r="BG198" i="4"/>
  <c r="BF198" i="4"/>
  <c r="BE198" i="4"/>
  <c r="BB198" i="4"/>
  <c r="BA198" i="4"/>
  <c r="AZ198" i="4"/>
  <c r="AY198" i="4"/>
  <c r="AX198" i="4"/>
  <c r="AW198" i="4"/>
  <c r="BJ197" i="4"/>
  <c r="BI197" i="4"/>
  <c r="BH197" i="4"/>
  <c r="BG197" i="4"/>
  <c r="BF197" i="4"/>
  <c r="BE197" i="4"/>
  <c r="BB197" i="4"/>
  <c r="BA197" i="4"/>
  <c r="AZ197" i="4"/>
  <c r="AY197" i="4"/>
  <c r="AX197" i="4"/>
  <c r="AW197" i="4"/>
  <c r="BJ196" i="4"/>
  <c r="BI196" i="4"/>
  <c r="BH196" i="4"/>
  <c r="BG196" i="4"/>
  <c r="BF196" i="4"/>
  <c r="BE196" i="4"/>
  <c r="BB196" i="4"/>
  <c r="BA196" i="4"/>
  <c r="AZ196" i="4"/>
  <c r="AY196" i="4"/>
  <c r="AX196" i="4"/>
  <c r="AW196" i="4"/>
  <c r="BJ195" i="4"/>
  <c r="BI195" i="4"/>
  <c r="BH195" i="4"/>
  <c r="BG195" i="4"/>
  <c r="BF195" i="4"/>
  <c r="BE195" i="4"/>
  <c r="BB195" i="4"/>
  <c r="BA195" i="4"/>
  <c r="AZ195" i="4"/>
  <c r="AY195" i="4"/>
  <c r="AX195" i="4"/>
  <c r="AW195" i="4"/>
  <c r="BJ194" i="4"/>
  <c r="BI194" i="4"/>
  <c r="BH194" i="4"/>
  <c r="BG194" i="4"/>
  <c r="BF194" i="4"/>
  <c r="BE194" i="4"/>
  <c r="BB194" i="4"/>
  <c r="BA194" i="4"/>
  <c r="AZ194" i="4"/>
  <c r="AY194" i="4"/>
  <c r="AX194" i="4"/>
  <c r="AW194" i="4"/>
  <c r="BJ193" i="4"/>
  <c r="BI193" i="4"/>
  <c r="BH193" i="4"/>
  <c r="BG193" i="4"/>
  <c r="BF193" i="4"/>
  <c r="BE193" i="4"/>
  <c r="BB193" i="4"/>
  <c r="BA193" i="4"/>
  <c r="AZ193" i="4"/>
  <c r="AY193" i="4"/>
  <c r="AX193" i="4"/>
  <c r="AW193" i="4"/>
  <c r="BJ192" i="4"/>
  <c r="BI192" i="4"/>
  <c r="BH192" i="4"/>
  <c r="BG192" i="4"/>
  <c r="BF192" i="4"/>
  <c r="BE192" i="4"/>
  <c r="BB192" i="4"/>
  <c r="BA192" i="4"/>
  <c r="AZ192" i="4"/>
  <c r="AY192" i="4"/>
  <c r="AX192" i="4"/>
  <c r="AW192" i="4"/>
  <c r="BJ191" i="4"/>
  <c r="BI191" i="4"/>
  <c r="BH191" i="4"/>
  <c r="BG191" i="4"/>
  <c r="BF191" i="4"/>
  <c r="BE191" i="4"/>
  <c r="BB191" i="4"/>
  <c r="BA191" i="4"/>
  <c r="AZ191" i="4"/>
  <c r="AY191" i="4"/>
  <c r="AX191" i="4"/>
  <c r="AW191" i="4"/>
  <c r="BJ190" i="4"/>
  <c r="BI190" i="4"/>
  <c r="BH190" i="4"/>
  <c r="BG190" i="4"/>
  <c r="BF190" i="4"/>
  <c r="BE190" i="4"/>
  <c r="BB190" i="4"/>
  <c r="BA190" i="4"/>
  <c r="AZ190" i="4"/>
  <c r="AY190" i="4"/>
  <c r="AX190" i="4"/>
  <c r="AW190" i="4"/>
  <c r="BJ189" i="4"/>
  <c r="BI189" i="4"/>
  <c r="BH189" i="4"/>
  <c r="BG189" i="4"/>
  <c r="BF189" i="4"/>
  <c r="BE189" i="4"/>
  <c r="BB189" i="4"/>
  <c r="BA189" i="4"/>
  <c r="AZ189" i="4"/>
  <c r="AY189" i="4"/>
  <c r="AX189" i="4"/>
  <c r="AW189" i="4"/>
  <c r="BJ188" i="4"/>
  <c r="BI188" i="4"/>
  <c r="BH188" i="4"/>
  <c r="BG188" i="4"/>
  <c r="BF188" i="4"/>
  <c r="BE188" i="4"/>
  <c r="BB188" i="4"/>
  <c r="BA188" i="4"/>
  <c r="AZ188" i="4"/>
  <c r="AY188" i="4"/>
  <c r="AX188" i="4"/>
  <c r="AW188" i="4"/>
  <c r="BJ187" i="4"/>
  <c r="BI187" i="4"/>
  <c r="BH187" i="4"/>
  <c r="BG187" i="4"/>
  <c r="BF187" i="4"/>
  <c r="BE187" i="4"/>
  <c r="BB187" i="4"/>
  <c r="BA187" i="4"/>
  <c r="AZ187" i="4"/>
  <c r="AY187" i="4"/>
  <c r="AX187" i="4"/>
  <c r="AW187" i="4"/>
  <c r="BJ186" i="4"/>
  <c r="BI186" i="4"/>
  <c r="BH186" i="4"/>
  <c r="BG186" i="4"/>
  <c r="BF186" i="4"/>
  <c r="BE186" i="4"/>
  <c r="BB186" i="4"/>
  <c r="BA186" i="4"/>
  <c r="AZ186" i="4"/>
  <c r="AY186" i="4"/>
  <c r="AX186" i="4"/>
  <c r="AW186" i="4"/>
  <c r="BJ185" i="4"/>
  <c r="BI185" i="4"/>
  <c r="BH185" i="4"/>
  <c r="BG185" i="4"/>
  <c r="BF185" i="4"/>
  <c r="BE185" i="4"/>
  <c r="BB185" i="4"/>
  <c r="BA185" i="4"/>
  <c r="AZ185" i="4"/>
  <c r="AY185" i="4"/>
  <c r="AX185" i="4"/>
  <c r="AW185" i="4"/>
  <c r="BJ184" i="4"/>
  <c r="BI184" i="4"/>
  <c r="BH184" i="4"/>
  <c r="BG184" i="4"/>
  <c r="BF184" i="4"/>
  <c r="BE184" i="4"/>
  <c r="BB184" i="4"/>
  <c r="BA184" i="4"/>
  <c r="AZ184" i="4"/>
  <c r="AY184" i="4"/>
  <c r="AX184" i="4"/>
  <c r="AW184" i="4"/>
  <c r="BJ183" i="4"/>
  <c r="BI183" i="4"/>
  <c r="BH183" i="4"/>
  <c r="BG183" i="4"/>
  <c r="BF183" i="4"/>
  <c r="BE183" i="4"/>
  <c r="BB183" i="4"/>
  <c r="BA183" i="4"/>
  <c r="AZ183" i="4"/>
  <c r="AY183" i="4"/>
  <c r="AX183" i="4"/>
  <c r="AW183" i="4"/>
  <c r="BJ182" i="4"/>
  <c r="BI182" i="4"/>
  <c r="BH182" i="4"/>
  <c r="BG182" i="4"/>
  <c r="BF182" i="4"/>
  <c r="BE182" i="4"/>
  <c r="BB182" i="4"/>
  <c r="BA182" i="4"/>
  <c r="AZ182" i="4"/>
  <c r="AY182" i="4"/>
  <c r="AX182" i="4"/>
  <c r="AW182" i="4"/>
  <c r="BJ181" i="4"/>
  <c r="BI181" i="4"/>
  <c r="BH181" i="4"/>
  <c r="BG181" i="4"/>
  <c r="BF181" i="4"/>
  <c r="BE181" i="4"/>
  <c r="BB181" i="4"/>
  <c r="BA181" i="4"/>
  <c r="AZ181" i="4"/>
  <c r="AY181" i="4"/>
  <c r="AX181" i="4"/>
  <c r="AW181" i="4"/>
  <c r="BJ180" i="4"/>
  <c r="BI180" i="4"/>
  <c r="BH180" i="4"/>
  <c r="BG180" i="4"/>
  <c r="BF180" i="4"/>
  <c r="BE180" i="4"/>
  <c r="BB180" i="4"/>
  <c r="BA180" i="4"/>
  <c r="AZ180" i="4"/>
  <c r="AY180" i="4"/>
  <c r="AX180" i="4"/>
  <c r="AW180" i="4"/>
  <c r="BJ179" i="4"/>
  <c r="BI179" i="4"/>
  <c r="BH179" i="4"/>
  <c r="BG179" i="4"/>
  <c r="BF179" i="4"/>
  <c r="BE179" i="4"/>
  <c r="BB179" i="4"/>
  <c r="BA179" i="4"/>
  <c r="AZ179" i="4"/>
  <c r="AY179" i="4"/>
  <c r="AX179" i="4"/>
  <c r="AW179" i="4"/>
  <c r="BJ178" i="4"/>
  <c r="BI178" i="4"/>
  <c r="BH178" i="4"/>
  <c r="BG178" i="4"/>
  <c r="BF178" i="4"/>
  <c r="BE178" i="4"/>
  <c r="BB178" i="4"/>
  <c r="BA178" i="4"/>
  <c r="AZ178" i="4"/>
  <c r="AY178" i="4"/>
  <c r="AX178" i="4"/>
  <c r="AW178" i="4"/>
  <c r="BJ177" i="4"/>
  <c r="BI177" i="4"/>
  <c r="BH177" i="4"/>
  <c r="BG177" i="4"/>
  <c r="BF177" i="4"/>
  <c r="BE177" i="4"/>
  <c r="BB177" i="4"/>
  <c r="BA177" i="4"/>
  <c r="AZ177" i="4"/>
  <c r="AY177" i="4"/>
  <c r="AX177" i="4"/>
  <c r="AW177" i="4"/>
  <c r="BJ176" i="4"/>
  <c r="BI176" i="4"/>
  <c r="BH176" i="4"/>
  <c r="BG176" i="4"/>
  <c r="BF176" i="4"/>
  <c r="BE176" i="4"/>
  <c r="BB176" i="4"/>
  <c r="BA176" i="4"/>
  <c r="AZ176" i="4"/>
  <c r="AY176" i="4"/>
  <c r="AX176" i="4"/>
  <c r="AW176" i="4"/>
  <c r="BJ175" i="4"/>
  <c r="BI175" i="4"/>
  <c r="BH175" i="4"/>
  <c r="BG175" i="4"/>
  <c r="BF175" i="4"/>
  <c r="BE175" i="4"/>
  <c r="BB175" i="4"/>
  <c r="BA175" i="4"/>
  <c r="AZ175" i="4"/>
  <c r="AY175" i="4"/>
  <c r="AX175" i="4"/>
  <c r="AW175" i="4"/>
  <c r="BJ174" i="4"/>
  <c r="BI174" i="4"/>
  <c r="BH174" i="4"/>
  <c r="BG174" i="4"/>
  <c r="BF174" i="4"/>
  <c r="BE174" i="4"/>
  <c r="BB174" i="4"/>
  <c r="BA174" i="4"/>
  <c r="AZ174" i="4"/>
  <c r="AY174" i="4"/>
  <c r="AX174" i="4"/>
  <c r="AW174" i="4"/>
  <c r="BJ173" i="4"/>
  <c r="BI173" i="4"/>
  <c r="BH173" i="4"/>
  <c r="BG173" i="4"/>
  <c r="BF173" i="4"/>
  <c r="BE173" i="4"/>
  <c r="BB173" i="4"/>
  <c r="BA173" i="4"/>
  <c r="AZ173" i="4"/>
  <c r="AY173" i="4"/>
  <c r="AX173" i="4"/>
  <c r="AW173" i="4"/>
  <c r="BJ172" i="4"/>
  <c r="BI172" i="4"/>
  <c r="BH172" i="4"/>
  <c r="BG172" i="4"/>
  <c r="BF172" i="4"/>
  <c r="BE172" i="4"/>
  <c r="BB172" i="4"/>
  <c r="BA172" i="4"/>
  <c r="AZ172" i="4"/>
  <c r="AY172" i="4"/>
  <c r="AX172" i="4"/>
  <c r="AW172" i="4"/>
  <c r="BJ171" i="4"/>
  <c r="BI171" i="4"/>
  <c r="BH171" i="4"/>
  <c r="BG171" i="4"/>
  <c r="BF171" i="4"/>
  <c r="BE171" i="4"/>
  <c r="BB171" i="4"/>
  <c r="BA171" i="4"/>
  <c r="AZ171" i="4"/>
  <c r="AY171" i="4"/>
  <c r="AX171" i="4"/>
  <c r="AW171" i="4"/>
  <c r="BJ170" i="4"/>
  <c r="BI170" i="4"/>
  <c r="BH170" i="4"/>
  <c r="BG170" i="4"/>
  <c r="BF170" i="4"/>
  <c r="BE170" i="4"/>
  <c r="BB170" i="4"/>
  <c r="BA170" i="4"/>
  <c r="AZ170" i="4"/>
  <c r="AY170" i="4"/>
  <c r="AX170" i="4"/>
  <c r="AW170" i="4"/>
  <c r="BJ169" i="4"/>
  <c r="BI169" i="4"/>
  <c r="BH169" i="4"/>
  <c r="BG169" i="4"/>
  <c r="BF169" i="4"/>
  <c r="BE169" i="4"/>
  <c r="BB169" i="4"/>
  <c r="BA169" i="4"/>
  <c r="AZ169" i="4"/>
  <c r="AY169" i="4"/>
  <c r="AX169" i="4"/>
  <c r="AW169" i="4"/>
  <c r="BJ168" i="4"/>
  <c r="BI168" i="4"/>
  <c r="BH168" i="4"/>
  <c r="BG168" i="4"/>
  <c r="BF168" i="4"/>
  <c r="BE168" i="4"/>
  <c r="BB168" i="4"/>
  <c r="BA168" i="4"/>
  <c r="AZ168" i="4"/>
  <c r="AY168" i="4"/>
  <c r="AX168" i="4"/>
  <c r="AW168" i="4"/>
  <c r="BJ167" i="4"/>
  <c r="BI167" i="4"/>
  <c r="BH167" i="4"/>
  <c r="BG167" i="4"/>
  <c r="BF167" i="4"/>
  <c r="BE167" i="4"/>
  <c r="BB167" i="4"/>
  <c r="BA167" i="4"/>
  <c r="AZ167" i="4"/>
  <c r="AY167" i="4"/>
  <c r="AX167" i="4"/>
  <c r="AW167" i="4"/>
  <c r="BJ166" i="4"/>
  <c r="BI166" i="4"/>
  <c r="BH166" i="4"/>
  <c r="BG166" i="4"/>
  <c r="BF166" i="4"/>
  <c r="BE166" i="4"/>
  <c r="BB166" i="4"/>
  <c r="BA166" i="4"/>
  <c r="AZ166" i="4"/>
  <c r="AY166" i="4"/>
  <c r="AX166" i="4"/>
  <c r="AW166" i="4"/>
  <c r="BJ165" i="4"/>
  <c r="BI165" i="4"/>
  <c r="BH165" i="4"/>
  <c r="BG165" i="4"/>
  <c r="BF165" i="4"/>
  <c r="BE165" i="4"/>
  <c r="BB165" i="4"/>
  <c r="BA165" i="4"/>
  <c r="AZ165" i="4"/>
  <c r="AY165" i="4"/>
  <c r="AX165" i="4"/>
  <c r="AW165" i="4"/>
  <c r="BJ164" i="4"/>
  <c r="BI164" i="4"/>
  <c r="BH164" i="4"/>
  <c r="BG164" i="4"/>
  <c r="BF164" i="4"/>
  <c r="BE164" i="4"/>
  <c r="BB164" i="4"/>
  <c r="BA164" i="4"/>
  <c r="AZ164" i="4"/>
  <c r="AY164" i="4"/>
  <c r="AX164" i="4"/>
  <c r="AW164" i="4"/>
  <c r="BJ163" i="4"/>
  <c r="BI163" i="4"/>
  <c r="BH163" i="4"/>
  <c r="BG163" i="4"/>
  <c r="BF163" i="4"/>
  <c r="BE163" i="4"/>
  <c r="BB163" i="4"/>
  <c r="BA163" i="4"/>
  <c r="AZ163" i="4"/>
  <c r="AY163" i="4"/>
  <c r="AX163" i="4"/>
  <c r="AW163" i="4"/>
  <c r="BJ162" i="4"/>
  <c r="BI162" i="4"/>
  <c r="BH162" i="4"/>
  <c r="BG162" i="4"/>
  <c r="BF162" i="4"/>
  <c r="BE162" i="4"/>
  <c r="BB162" i="4"/>
  <c r="BA162" i="4"/>
  <c r="AZ162" i="4"/>
  <c r="AY162" i="4"/>
  <c r="AX162" i="4"/>
  <c r="AW162" i="4"/>
  <c r="BJ161" i="4"/>
  <c r="BI161" i="4"/>
  <c r="BH161" i="4"/>
  <c r="BG161" i="4"/>
  <c r="BF161" i="4"/>
  <c r="BE161" i="4"/>
  <c r="BB161" i="4"/>
  <c r="BA161" i="4"/>
  <c r="AZ161" i="4"/>
  <c r="AY161" i="4"/>
  <c r="AX161" i="4"/>
  <c r="AW161" i="4"/>
  <c r="BJ160" i="4"/>
  <c r="BI160" i="4"/>
  <c r="BH160" i="4"/>
  <c r="BG160" i="4"/>
  <c r="BF160" i="4"/>
  <c r="BE160" i="4"/>
  <c r="BB160" i="4"/>
  <c r="BA160" i="4"/>
  <c r="AZ160" i="4"/>
  <c r="AY160" i="4"/>
  <c r="AX160" i="4"/>
  <c r="AW160" i="4"/>
  <c r="BJ159" i="4"/>
  <c r="BI159" i="4"/>
  <c r="BH159" i="4"/>
  <c r="BG159" i="4"/>
  <c r="BF159" i="4"/>
  <c r="BE159" i="4"/>
  <c r="BB159" i="4"/>
  <c r="BA159" i="4"/>
  <c r="AZ159" i="4"/>
  <c r="AY159" i="4"/>
  <c r="AX159" i="4"/>
  <c r="AW159" i="4"/>
  <c r="BJ158" i="4"/>
  <c r="BI158" i="4"/>
  <c r="BH158" i="4"/>
  <c r="BG158" i="4"/>
  <c r="BF158" i="4"/>
  <c r="BE158" i="4"/>
  <c r="BB158" i="4"/>
  <c r="BA158" i="4"/>
  <c r="AZ158" i="4"/>
  <c r="AY158" i="4"/>
  <c r="AX158" i="4"/>
  <c r="AW158" i="4"/>
  <c r="BJ157" i="4"/>
  <c r="BI157" i="4"/>
  <c r="BH157" i="4"/>
  <c r="BG157" i="4"/>
  <c r="BF157" i="4"/>
  <c r="BE157" i="4"/>
  <c r="BB157" i="4"/>
  <c r="BA157" i="4"/>
  <c r="AZ157" i="4"/>
  <c r="AY157" i="4"/>
  <c r="AX157" i="4"/>
  <c r="AW157" i="4"/>
  <c r="BJ156" i="4"/>
  <c r="BI156" i="4"/>
  <c r="BH156" i="4"/>
  <c r="BG156" i="4"/>
  <c r="BF156" i="4"/>
  <c r="BE156" i="4"/>
  <c r="BB156" i="4"/>
  <c r="BA156" i="4"/>
  <c r="AZ156" i="4"/>
  <c r="AY156" i="4"/>
  <c r="AX156" i="4"/>
  <c r="AW156" i="4"/>
  <c r="BJ155" i="4"/>
  <c r="BI155" i="4"/>
  <c r="BH155" i="4"/>
  <c r="BG155" i="4"/>
  <c r="BF155" i="4"/>
  <c r="BE155" i="4"/>
  <c r="BB155" i="4"/>
  <c r="BA155" i="4"/>
  <c r="AZ155" i="4"/>
  <c r="AY155" i="4"/>
  <c r="AX155" i="4"/>
  <c r="AW155" i="4"/>
  <c r="BJ154" i="4"/>
  <c r="BI154" i="4"/>
  <c r="BH154" i="4"/>
  <c r="BG154" i="4"/>
  <c r="BF154" i="4"/>
  <c r="BE154" i="4"/>
  <c r="BB154" i="4"/>
  <c r="BA154" i="4"/>
  <c r="AZ154" i="4"/>
  <c r="AY154" i="4"/>
  <c r="AX154" i="4"/>
  <c r="AW154" i="4"/>
  <c r="BJ153" i="4"/>
  <c r="BI153" i="4"/>
  <c r="BH153" i="4"/>
  <c r="BG153" i="4"/>
  <c r="BF153" i="4"/>
  <c r="BE153" i="4"/>
  <c r="BB153" i="4"/>
  <c r="BA153" i="4"/>
  <c r="AZ153" i="4"/>
  <c r="AY153" i="4"/>
  <c r="AX153" i="4"/>
  <c r="AW153" i="4"/>
  <c r="BJ152" i="4"/>
  <c r="BI152" i="4"/>
  <c r="BH152" i="4"/>
  <c r="BG152" i="4"/>
  <c r="BF152" i="4"/>
  <c r="BE152" i="4"/>
  <c r="BB152" i="4"/>
  <c r="BA152" i="4"/>
  <c r="AZ152" i="4"/>
  <c r="AY152" i="4"/>
  <c r="AX152" i="4"/>
  <c r="AW152" i="4"/>
  <c r="BJ151" i="4"/>
  <c r="BI151" i="4"/>
  <c r="BH151" i="4"/>
  <c r="BG151" i="4"/>
  <c r="BF151" i="4"/>
  <c r="BE151" i="4"/>
  <c r="BB151" i="4"/>
  <c r="BA151" i="4"/>
  <c r="AZ151" i="4"/>
  <c r="AY151" i="4"/>
  <c r="AX151" i="4"/>
  <c r="AW151" i="4"/>
  <c r="BJ150" i="4"/>
  <c r="BI150" i="4"/>
  <c r="BH150" i="4"/>
  <c r="BG150" i="4"/>
  <c r="BF150" i="4"/>
  <c r="BE150" i="4"/>
  <c r="BB150" i="4"/>
  <c r="BA150" i="4"/>
  <c r="AZ150" i="4"/>
  <c r="AY150" i="4"/>
  <c r="AX150" i="4"/>
  <c r="AW150" i="4"/>
  <c r="BJ149" i="4"/>
  <c r="BI149" i="4"/>
  <c r="BH149" i="4"/>
  <c r="BG149" i="4"/>
  <c r="BF149" i="4"/>
  <c r="BE149" i="4"/>
  <c r="BB149" i="4"/>
  <c r="BA149" i="4"/>
  <c r="AZ149" i="4"/>
  <c r="AY149" i="4"/>
  <c r="AX149" i="4"/>
  <c r="AW149" i="4"/>
  <c r="BJ148" i="4"/>
  <c r="BI148" i="4"/>
  <c r="BH148" i="4"/>
  <c r="BG148" i="4"/>
  <c r="BF148" i="4"/>
  <c r="BE148" i="4"/>
  <c r="BB148" i="4"/>
  <c r="BA148" i="4"/>
  <c r="AZ148" i="4"/>
  <c r="AY148" i="4"/>
  <c r="AX148" i="4"/>
  <c r="AW148" i="4"/>
  <c r="BJ147" i="4"/>
  <c r="BI147" i="4"/>
  <c r="BH147" i="4"/>
  <c r="BG147" i="4"/>
  <c r="BF147" i="4"/>
  <c r="BE147" i="4"/>
  <c r="BB147" i="4"/>
  <c r="BA147" i="4"/>
  <c r="AZ147" i="4"/>
  <c r="AY147" i="4"/>
  <c r="AX147" i="4"/>
  <c r="AW147" i="4"/>
  <c r="BJ146" i="4"/>
  <c r="BI146" i="4"/>
  <c r="BH146" i="4"/>
  <c r="BG146" i="4"/>
  <c r="BF146" i="4"/>
  <c r="BE146" i="4"/>
  <c r="BB146" i="4"/>
  <c r="BA146" i="4"/>
  <c r="AZ146" i="4"/>
  <c r="AY146" i="4"/>
  <c r="AX146" i="4"/>
  <c r="AW146" i="4"/>
  <c r="BJ145" i="4"/>
  <c r="BI145" i="4"/>
  <c r="BH145" i="4"/>
  <c r="BG145" i="4"/>
  <c r="BF145" i="4"/>
  <c r="BE145" i="4"/>
  <c r="BB145" i="4"/>
  <c r="BA145" i="4"/>
  <c r="AZ145" i="4"/>
  <c r="AY145" i="4"/>
  <c r="AX145" i="4"/>
  <c r="AW145" i="4"/>
  <c r="BJ144" i="4"/>
  <c r="BI144" i="4"/>
  <c r="BH144" i="4"/>
  <c r="BG144" i="4"/>
  <c r="BF144" i="4"/>
  <c r="BE144" i="4"/>
  <c r="BB144" i="4"/>
  <c r="BA144" i="4"/>
  <c r="AZ144" i="4"/>
  <c r="AY144" i="4"/>
  <c r="AX144" i="4"/>
  <c r="AW144" i="4"/>
  <c r="BJ143" i="4"/>
  <c r="BI143" i="4"/>
  <c r="BH143" i="4"/>
  <c r="BG143" i="4"/>
  <c r="BF143" i="4"/>
  <c r="BE143" i="4"/>
  <c r="BB143" i="4"/>
  <c r="BA143" i="4"/>
  <c r="AZ143" i="4"/>
  <c r="AY143" i="4"/>
  <c r="AX143" i="4"/>
  <c r="AW143" i="4"/>
  <c r="BJ142" i="4"/>
  <c r="BI142" i="4"/>
  <c r="BH142" i="4"/>
  <c r="BG142" i="4"/>
  <c r="BF142" i="4"/>
  <c r="BE142" i="4"/>
  <c r="BB142" i="4"/>
  <c r="BA142" i="4"/>
  <c r="AZ142" i="4"/>
  <c r="AY142" i="4"/>
  <c r="AX142" i="4"/>
  <c r="AW142" i="4"/>
  <c r="BJ141" i="4"/>
  <c r="BI141" i="4"/>
  <c r="BH141" i="4"/>
  <c r="BG141" i="4"/>
  <c r="BF141" i="4"/>
  <c r="BE141" i="4"/>
  <c r="BB141" i="4"/>
  <c r="BA141" i="4"/>
  <c r="AZ141" i="4"/>
  <c r="AY141" i="4"/>
  <c r="AX141" i="4"/>
  <c r="AW141" i="4"/>
  <c r="BJ140" i="4"/>
  <c r="BI140" i="4"/>
  <c r="BH140" i="4"/>
  <c r="BG140" i="4"/>
  <c r="BF140" i="4"/>
  <c r="BE140" i="4"/>
  <c r="BB140" i="4"/>
  <c r="BA140" i="4"/>
  <c r="AZ140" i="4"/>
  <c r="AY140" i="4"/>
  <c r="AX140" i="4"/>
  <c r="AW140" i="4"/>
  <c r="BJ139" i="4"/>
  <c r="BI139" i="4"/>
  <c r="BH139" i="4"/>
  <c r="BG139" i="4"/>
  <c r="BF139" i="4"/>
  <c r="BE139" i="4"/>
  <c r="BB139" i="4"/>
  <c r="BA139" i="4"/>
  <c r="AZ139" i="4"/>
  <c r="AY139" i="4"/>
  <c r="AX139" i="4"/>
  <c r="AW139" i="4"/>
  <c r="BJ138" i="4"/>
  <c r="BI138" i="4"/>
  <c r="BH138" i="4"/>
  <c r="BG138" i="4"/>
  <c r="BF138" i="4"/>
  <c r="BE138" i="4"/>
  <c r="BB138" i="4"/>
  <c r="BA138" i="4"/>
  <c r="AZ138" i="4"/>
  <c r="AY138" i="4"/>
  <c r="AX138" i="4"/>
  <c r="AW138" i="4"/>
  <c r="BJ137" i="4"/>
  <c r="BI137" i="4"/>
  <c r="BH137" i="4"/>
  <c r="BG137" i="4"/>
  <c r="BF137" i="4"/>
  <c r="BE137" i="4"/>
  <c r="BB137" i="4"/>
  <c r="BA137" i="4"/>
  <c r="AZ137" i="4"/>
  <c r="AY137" i="4"/>
  <c r="AX137" i="4"/>
  <c r="AW137" i="4"/>
  <c r="BJ136" i="4"/>
  <c r="BI136" i="4"/>
  <c r="BH136" i="4"/>
  <c r="BG136" i="4"/>
  <c r="BF136" i="4"/>
  <c r="BE136" i="4"/>
  <c r="BB136" i="4"/>
  <c r="BA136" i="4"/>
  <c r="AZ136" i="4"/>
  <c r="AY136" i="4"/>
  <c r="AX136" i="4"/>
  <c r="AW136" i="4"/>
  <c r="BJ135" i="4"/>
  <c r="BI135" i="4"/>
  <c r="BH135" i="4"/>
  <c r="BG135" i="4"/>
  <c r="BF135" i="4"/>
  <c r="BE135" i="4"/>
  <c r="BB135" i="4"/>
  <c r="BA135" i="4"/>
  <c r="AZ135" i="4"/>
  <c r="AY135" i="4"/>
  <c r="AX135" i="4"/>
  <c r="AW135" i="4"/>
  <c r="BJ134" i="4"/>
  <c r="BI134" i="4"/>
  <c r="BH134" i="4"/>
  <c r="BG134" i="4"/>
  <c r="BF134" i="4"/>
  <c r="BE134" i="4"/>
  <c r="BB134" i="4"/>
  <c r="BA134" i="4"/>
  <c r="AZ134" i="4"/>
  <c r="AY134" i="4"/>
  <c r="AX134" i="4"/>
  <c r="AW134" i="4"/>
  <c r="BJ133" i="4"/>
  <c r="BI133" i="4"/>
  <c r="BH133" i="4"/>
  <c r="BG133" i="4"/>
  <c r="BF133" i="4"/>
  <c r="BE133" i="4"/>
  <c r="BB133" i="4"/>
  <c r="BA133" i="4"/>
  <c r="AZ133" i="4"/>
  <c r="AY133" i="4"/>
  <c r="AX133" i="4"/>
  <c r="AW133" i="4"/>
  <c r="BJ132" i="4"/>
  <c r="BI132" i="4"/>
  <c r="BH132" i="4"/>
  <c r="BG132" i="4"/>
  <c r="BF132" i="4"/>
  <c r="BE132" i="4"/>
  <c r="BB132" i="4"/>
  <c r="BA132" i="4"/>
  <c r="AZ132" i="4"/>
  <c r="AY132" i="4"/>
  <c r="AX132" i="4"/>
  <c r="AW132" i="4"/>
  <c r="BJ131" i="4"/>
  <c r="BI131" i="4"/>
  <c r="BH131" i="4"/>
  <c r="BG131" i="4"/>
  <c r="BF131" i="4"/>
  <c r="BE131" i="4"/>
  <c r="BB131" i="4"/>
  <c r="BA131" i="4"/>
  <c r="AZ131" i="4"/>
  <c r="AY131" i="4"/>
  <c r="AX131" i="4"/>
  <c r="AW131" i="4"/>
  <c r="BJ130" i="4"/>
  <c r="BI130" i="4"/>
  <c r="BH130" i="4"/>
  <c r="BG130" i="4"/>
  <c r="BF130" i="4"/>
  <c r="BE130" i="4"/>
  <c r="BB130" i="4"/>
  <c r="BA130" i="4"/>
  <c r="AZ130" i="4"/>
  <c r="AY130" i="4"/>
  <c r="AX130" i="4"/>
  <c r="AW130" i="4"/>
  <c r="BJ129" i="4"/>
  <c r="BI129" i="4"/>
  <c r="BH129" i="4"/>
  <c r="BG129" i="4"/>
  <c r="BF129" i="4"/>
  <c r="BE129" i="4"/>
  <c r="BB129" i="4"/>
  <c r="BA129" i="4"/>
  <c r="AZ129" i="4"/>
  <c r="AY129" i="4"/>
  <c r="AX129" i="4"/>
  <c r="AW129" i="4"/>
  <c r="BJ128" i="4"/>
  <c r="BI128" i="4"/>
  <c r="BH128" i="4"/>
  <c r="BG128" i="4"/>
  <c r="BF128" i="4"/>
  <c r="BE128" i="4"/>
  <c r="BB128" i="4"/>
  <c r="BA128" i="4"/>
  <c r="AZ128" i="4"/>
  <c r="AY128" i="4"/>
  <c r="AX128" i="4"/>
  <c r="AW128" i="4"/>
  <c r="BJ127" i="4"/>
  <c r="BI127" i="4"/>
  <c r="BH127" i="4"/>
  <c r="BG127" i="4"/>
  <c r="BF127" i="4"/>
  <c r="BE127" i="4"/>
  <c r="BB127" i="4"/>
  <c r="BA127" i="4"/>
  <c r="AZ127" i="4"/>
  <c r="AY127" i="4"/>
  <c r="AX127" i="4"/>
  <c r="AW127" i="4"/>
  <c r="BJ126" i="4"/>
  <c r="BI126" i="4"/>
  <c r="BH126" i="4"/>
  <c r="BG126" i="4"/>
  <c r="BF126" i="4"/>
  <c r="BE126" i="4"/>
  <c r="BB126" i="4"/>
  <c r="BA126" i="4"/>
  <c r="AZ126" i="4"/>
  <c r="AY126" i="4"/>
  <c r="AX126" i="4"/>
  <c r="AW126" i="4"/>
  <c r="BJ125" i="4"/>
  <c r="BI125" i="4"/>
  <c r="BH125" i="4"/>
  <c r="BG125" i="4"/>
  <c r="BF125" i="4"/>
  <c r="BE125" i="4"/>
  <c r="BB125" i="4"/>
  <c r="BA125" i="4"/>
  <c r="AZ125" i="4"/>
  <c r="AY125" i="4"/>
  <c r="AX125" i="4"/>
  <c r="AW125" i="4"/>
  <c r="BJ124" i="4"/>
  <c r="BI124" i="4"/>
  <c r="BH124" i="4"/>
  <c r="BG124" i="4"/>
  <c r="BF124" i="4"/>
  <c r="BE124" i="4"/>
  <c r="BB124" i="4"/>
  <c r="BA124" i="4"/>
  <c r="AZ124" i="4"/>
  <c r="AY124" i="4"/>
  <c r="AX124" i="4"/>
  <c r="AW124" i="4"/>
  <c r="BJ123" i="4"/>
  <c r="BI123" i="4"/>
  <c r="BH123" i="4"/>
  <c r="BG123" i="4"/>
  <c r="BF123" i="4"/>
  <c r="BE123" i="4"/>
  <c r="BB123" i="4"/>
  <c r="BA123" i="4"/>
  <c r="AZ123" i="4"/>
  <c r="AY123" i="4"/>
  <c r="AX123" i="4"/>
  <c r="AW123" i="4"/>
  <c r="BJ122" i="4"/>
  <c r="BI122" i="4"/>
  <c r="BH122" i="4"/>
  <c r="BG122" i="4"/>
  <c r="BF122" i="4"/>
  <c r="BE122" i="4"/>
  <c r="BB122" i="4"/>
  <c r="BA122" i="4"/>
  <c r="AZ122" i="4"/>
  <c r="AY122" i="4"/>
  <c r="AX122" i="4"/>
  <c r="AW122" i="4"/>
  <c r="BJ121" i="4"/>
  <c r="BI121" i="4"/>
  <c r="BH121" i="4"/>
  <c r="BG121" i="4"/>
  <c r="BF121" i="4"/>
  <c r="BE121" i="4"/>
  <c r="BB121" i="4"/>
  <c r="BA121" i="4"/>
  <c r="AZ121" i="4"/>
  <c r="AY121" i="4"/>
  <c r="AX121" i="4"/>
  <c r="AW121" i="4"/>
  <c r="BJ120" i="4"/>
  <c r="BI120" i="4"/>
  <c r="BH120" i="4"/>
  <c r="BG120" i="4"/>
  <c r="BF120" i="4"/>
  <c r="BE120" i="4"/>
  <c r="BB120" i="4"/>
  <c r="BA120" i="4"/>
  <c r="AZ120" i="4"/>
  <c r="AY120" i="4"/>
  <c r="AX120" i="4"/>
  <c r="AW120" i="4"/>
  <c r="BJ119" i="4"/>
  <c r="BI119" i="4"/>
  <c r="BH119" i="4"/>
  <c r="BG119" i="4"/>
  <c r="BF119" i="4"/>
  <c r="BE119" i="4"/>
  <c r="BB119" i="4"/>
  <c r="BA119" i="4"/>
  <c r="AZ119" i="4"/>
  <c r="AY119" i="4"/>
  <c r="AX119" i="4"/>
  <c r="AW119" i="4"/>
  <c r="BJ118" i="4"/>
  <c r="BI118" i="4"/>
  <c r="BH118" i="4"/>
  <c r="BG118" i="4"/>
  <c r="BF118" i="4"/>
  <c r="BE118" i="4"/>
  <c r="BB118" i="4"/>
  <c r="BA118" i="4"/>
  <c r="AZ118" i="4"/>
  <c r="AY118" i="4"/>
  <c r="AX118" i="4"/>
  <c r="AW118" i="4"/>
  <c r="BJ117" i="4"/>
  <c r="BI117" i="4"/>
  <c r="BH117" i="4"/>
  <c r="BG117" i="4"/>
  <c r="BF117" i="4"/>
  <c r="BE117" i="4"/>
  <c r="BB117" i="4"/>
  <c r="BA117" i="4"/>
  <c r="AZ117" i="4"/>
  <c r="AY117" i="4"/>
  <c r="AX117" i="4"/>
  <c r="AW117" i="4"/>
  <c r="BJ116" i="4"/>
  <c r="BI116" i="4"/>
  <c r="BH116" i="4"/>
  <c r="BG116" i="4"/>
  <c r="BF116" i="4"/>
  <c r="BE116" i="4"/>
  <c r="BB116" i="4"/>
  <c r="BA116" i="4"/>
  <c r="AZ116" i="4"/>
  <c r="AY116" i="4"/>
  <c r="AX116" i="4"/>
  <c r="AW116" i="4"/>
  <c r="BJ115" i="4"/>
  <c r="BI115" i="4"/>
  <c r="BH115" i="4"/>
  <c r="BG115" i="4"/>
  <c r="BF115" i="4"/>
  <c r="BE115" i="4"/>
  <c r="BB115" i="4"/>
  <c r="BA115" i="4"/>
  <c r="AZ115" i="4"/>
  <c r="AY115" i="4"/>
  <c r="AX115" i="4"/>
  <c r="AW115" i="4"/>
  <c r="BJ114" i="4"/>
  <c r="BI114" i="4"/>
  <c r="BH114" i="4"/>
  <c r="BG114" i="4"/>
  <c r="BF114" i="4"/>
  <c r="BE114" i="4"/>
  <c r="BB114" i="4"/>
  <c r="BA114" i="4"/>
  <c r="AZ114" i="4"/>
  <c r="AY114" i="4"/>
  <c r="AX114" i="4"/>
  <c r="AW114" i="4"/>
  <c r="BJ113" i="4"/>
  <c r="BI113" i="4"/>
  <c r="BH113" i="4"/>
  <c r="BG113" i="4"/>
  <c r="BF113" i="4"/>
  <c r="BE113" i="4"/>
  <c r="BB113" i="4"/>
  <c r="BA113" i="4"/>
  <c r="AZ113" i="4"/>
  <c r="AY113" i="4"/>
  <c r="AX113" i="4"/>
  <c r="AW113" i="4"/>
  <c r="BJ112" i="4"/>
  <c r="BI112" i="4"/>
  <c r="BH112" i="4"/>
  <c r="BG112" i="4"/>
  <c r="BF112" i="4"/>
  <c r="BE112" i="4"/>
  <c r="BB112" i="4"/>
  <c r="BA112" i="4"/>
  <c r="AZ112" i="4"/>
  <c r="AY112" i="4"/>
  <c r="AX112" i="4"/>
  <c r="AW112" i="4"/>
  <c r="BJ111" i="4"/>
  <c r="BI111" i="4"/>
  <c r="BH111" i="4"/>
  <c r="BG111" i="4"/>
  <c r="BF111" i="4"/>
  <c r="BE111" i="4"/>
  <c r="BB111" i="4"/>
  <c r="BA111" i="4"/>
  <c r="AZ111" i="4"/>
  <c r="AY111" i="4"/>
  <c r="AX111" i="4"/>
  <c r="AW111" i="4"/>
  <c r="BJ110" i="4"/>
  <c r="BI110" i="4"/>
  <c r="BH110" i="4"/>
  <c r="BG110" i="4"/>
  <c r="BF110" i="4"/>
  <c r="BE110" i="4"/>
  <c r="BB110" i="4"/>
  <c r="BA110" i="4"/>
  <c r="AZ110" i="4"/>
  <c r="AY110" i="4"/>
  <c r="AX110" i="4"/>
  <c r="AW110" i="4"/>
  <c r="BJ109" i="4"/>
  <c r="BI109" i="4"/>
  <c r="BH109" i="4"/>
  <c r="BG109" i="4"/>
  <c r="BF109" i="4"/>
  <c r="BE109" i="4"/>
  <c r="BB109" i="4"/>
  <c r="BA109" i="4"/>
  <c r="AZ109" i="4"/>
  <c r="AY109" i="4"/>
  <c r="AX109" i="4"/>
  <c r="AW109" i="4"/>
  <c r="BJ108" i="4"/>
  <c r="BI108" i="4"/>
  <c r="BH108" i="4"/>
  <c r="BG108" i="4"/>
  <c r="BF108" i="4"/>
  <c r="BE108" i="4"/>
  <c r="BB108" i="4"/>
  <c r="BA108" i="4"/>
  <c r="AZ108" i="4"/>
  <c r="AY108" i="4"/>
  <c r="AX108" i="4"/>
  <c r="AW108" i="4"/>
  <c r="BJ107" i="4"/>
  <c r="BI107" i="4"/>
  <c r="BH107" i="4"/>
  <c r="BG107" i="4"/>
  <c r="BF107" i="4"/>
  <c r="BE107" i="4"/>
  <c r="BB107" i="4"/>
  <c r="BA107" i="4"/>
  <c r="AZ107" i="4"/>
  <c r="AY107" i="4"/>
  <c r="AX107" i="4"/>
  <c r="AW107" i="4"/>
  <c r="BJ106" i="4"/>
  <c r="BI106" i="4"/>
  <c r="BH106" i="4"/>
  <c r="BG106" i="4"/>
  <c r="BF106" i="4"/>
  <c r="BE106" i="4"/>
  <c r="BB106" i="4"/>
  <c r="BA106" i="4"/>
  <c r="AZ106" i="4"/>
  <c r="AY106" i="4"/>
  <c r="AX106" i="4"/>
  <c r="AW106" i="4"/>
  <c r="BJ105" i="4"/>
  <c r="BI105" i="4"/>
  <c r="BH105" i="4"/>
  <c r="BG105" i="4"/>
  <c r="BF105" i="4"/>
  <c r="BE105" i="4"/>
  <c r="BB105" i="4"/>
  <c r="BA105" i="4"/>
  <c r="AZ105" i="4"/>
  <c r="AY105" i="4"/>
  <c r="AX105" i="4"/>
  <c r="AW105" i="4"/>
  <c r="BJ104" i="4"/>
  <c r="BI104" i="4"/>
  <c r="BH104" i="4"/>
  <c r="BG104" i="4"/>
  <c r="BF104" i="4"/>
  <c r="BE104" i="4"/>
  <c r="BB104" i="4"/>
  <c r="BA104" i="4"/>
  <c r="AZ104" i="4"/>
  <c r="AY104" i="4"/>
  <c r="AX104" i="4"/>
  <c r="AW104" i="4"/>
  <c r="BJ103" i="4"/>
  <c r="BI103" i="4"/>
  <c r="BH103" i="4"/>
  <c r="BG103" i="4"/>
  <c r="BF103" i="4"/>
  <c r="BE103" i="4"/>
  <c r="BB103" i="4"/>
  <c r="BA103" i="4"/>
  <c r="AZ103" i="4"/>
  <c r="AY103" i="4"/>
  <c r="AX103" i="4"/>
  <c r="AW103" i="4"/>
  <c r="BJ102" i="4"/>
  <c r="BI102" i="4"/>
  <c r="BH102" i="4"/>
  <c r="BG102" i="4"/>
  <c r="BF102" i="4"/>
  <c r="BE102" i="4"/>
  <c r="BB102" i="4"/>
  <c r="BA102" i="4"/>
  <c r="AZ102" i="4"/>
  <c r="AY102" i="4"/>
  <c r="AX102" i="4"/>
  <c r="AW102" i="4"/>
  <c r="BJ101" i="4"/>
  <c r="BI101" i="4"/>
  <c r="BH101" i="4"/>
  <c r="BG101" i="4"/>
  <c r="BF101" i="4"/>
  <c r="BE101" i="4"/>
  <c r="BB101" i="4"/>
  <c r="BA101" i="4"/>
  <c r="AZ101" i="4"/>
  <c r="AY101" i="4"/>
  <c r="AX101" i="4"/>
  <c r="AW101" i="4"/>
  <c r="BJ100" i="4"/>
  <c r="BI100" i="4"/>
  <c r="BH100" i="4"/>
  <c r="BG100" i="4"/>
  <c r="BF100" i="4"/>
  <c r="BE100" i="4"/>
  <c r="BB100" i="4"/>
  <c r="BA100" i="4"/>
  <c r="AZ100" i="4"/>
  <c r="AY100" i="4"/>
  <c r="AX100" i="4"/>
  <c r="AW100" i="4"/>
  <c r="BJ99" i="4"/>
  <c r="BI99" i="4"/>
  <c r="BH99" i="4"/>
  <c r="BG99" i="4"/>
  <c r="BF99" i="4"/>
  <c r="BE99" i="4"/>
  <c r="BB99" i="4"/>
  <c r="BA99" i="4"/>
  <c r="AZ99" i="4"/>
  <c r="AY99" i="4"/>
  <c r="AX99" i="4"/>
  <c r="AW99" i="4"/>
  <c r="BJ98" i="4"/>
  <c r="BI98" i="4"/>
  <c r="BH98" i="4"/>
  <c r="BG98" i="4"/>
  <c r="BF98" i="4"/>
  <c r="BE98" i="4"/>
  <c r="BB98" i="4"/>
  <c r="BA98" i="4"/>
  <c r="AZ98" i="4"/>
  <c r="AY98" i="4"/>
  <c r="AX98" i="4"/>
  <c r="AW98" i="4"/>
  <c r="BJ97" i="4"/>
  <c r="BI97" i="4"/>
  <c r="BH97" i="4"/>
  <c r="BG97" i="4"/>
  <c r="BF97" i="4"/>
  <c r="BE97" i="4"/>
  <c r="BB97" i="4"/>
  <c r="BA97" i="4"/>
  <c r="AZ97" i="4"/>
  <c r="AY97" i="4"/>
  <c r="AX97" i="4"/>
  <c r="AW97" i="4"/>
  <c r="BJ96" i="4"/>
  <c r="BI96" i="4"/>
  <c r="BH96" i="4"/>
  <c r="BG96" i="4"/>
  <c r="BF96" i="4"/>
  <c r="BE96" i="4"/>
  <c r="BB96" i="4"/>
  <c r="BA96" i="4"/>
  <c r="AZ96" i="4"/>
  <c r="AY96" i="4"/>
  <c r="AX96" i="4"/>
  <c r="AW96" i="4"/>
  <c r="BJ95" i="4"/>
  <c r="BI95" i="4"/>
  <c r="BH95" i="4"/>
  <c r="BG95" i="4"/>
  <c r="BF95" i="4"/>
  <c r="BE95" i="4"/>
  <c r="BB95" i="4"/>
  <c r="BA95" i="4"/>
  <c r="AZ95" i="4"/>
  <c r="AY95" i="4"/>
  <c r="AX95" i="4"/>
  <c r="AW95" i="4"/>
  <c r="BJ94" i="4"/>
  <c r="BI94" i="4"/>
  <c r="BH94" i="4"/>
  <c r="BG94" i="4"/>
  <c r="BF94" i="4"/>
  <c r="BE94" i="4"/>
  <c r="BB94" i="4"/>
  <c r="BA94" i="4"/>
  <c r="AZ94" i="4"/>
  <c r="AY94" i="4"/>
  <c r="AX94" i="4"/>
  <c r="AW94" i="4"/>
  <c r="BJ93" i="4"/>
  <c r="BI93" i="4"/>
  <c r="BH93" i="4"/>
  <c r="BG93" i="4"/>
  <c r="BF93" i="4"/>
  <c r="BE93" i="4"/>
  <c r="BB93" i="4"/>
  <c r="BA93" i="4"/>
  <c r="AZ93" i="4"/>
  <c r="AY93" i="4"/>
  <c r="AX93" i="4"/>
  <c r="AW93" i="4"/>
  <c r="BJ92" i="4"/>
  <c r="BI92" i="4"/>
  <c r="BH92" i="4"/>
  <c r="BG92" i="4"/>
  <c r="BF92" i="4"/>
  <c r="BE92" i="4"/>
  <c r="BB92" i="4"/>
  <c r="BA92" i="4"/>
  <c r="AZ92" i="4"/>
  <c r="AY92" i="4"/>
  <c r="AX92" i="4"/>
  <c r="AW92" i="4"/>
  <c r="BJ91" i="4"/>
  <c r="BI91" i="4"/>
  <c r="BH91" i="4"/>
  <c r="BG91" i="4"/>
  <c r="BF91" i="4"/>
  <c r="BE91" i="4"/>
  <c r="BB91" i="4"/>
  <c r="BA91" i="4"/>
  <c r="AZ91" i="4"/>
  <c r="AY91" i="4"/>
  <c r="AX91" i="4"/>
  <c r="AW91" i="4"/>
  <c r="BJ90" i="4"/>
  <c r="BI90" i="4"/>
  <c r="BH90" i="4"/>
  <c r="BG90" i="4"/>
  <c r="BF90" i="4"/>
  <c r="BE90" i="4"/>
  <c r="BB90" i="4"/>
  <c r="BA90" i="4"/>
  <c r="AZ90" i="4"/>
  <c r="AY90" i="4"/>
  <c r="AX90" i="4"/>
  <c r="AW90" i="4"/>
  <c r="BJ89" i="4"/>
  <c r="BI89" i="4"/>
  <c r="BH89" i="4"/>
  <c r="BG89" i="4"/>
  <c r="BF89" i="4"/>
  <c r="BE89" i="4"/>
  <c r="BB89" i="4"/>
  <c r="BA89" i="4"/>
  <c r="AZ89" i="4"/>
  <c r="AY89" i="4"/>
  <c r="AX89" i="4"/>
  <c r="AW89" i="4"/>
  <c r="BJ88" i="4"/>
  <c r="BI88" i="4"/>
  <c r="BH88" i="4"/>
  <c r="BG88" i="4"/>
  <c r="BF88" i="4"/>
  <c r="BE88" i="4"/>
  <c r="BB88" i="4"/>
  <c r="BA88" i="4"/>
  <c r="AZ88" i="4"/>
  <c r="AY88" i="4"/>
  <c r="AX88" i="4"/>
  <c r="AW88" i="4"/>
  <c r="BJ87" i="4"/>
  <c r="BI87" i="4"/>
  <c r="BH87" i="4"/>
  <c r="BG87" i="4"/>
  <c r="BF87" i="4"/>
  <c r="BE87" i="4"/>
  <c r="BB87" i="4"/>
  <c r="BA87" i="4"/>
  <c r="AZ87" i="4"/>
  <c r="AY87" i="4"/>
  <c r="AX87" i="4"/>
  <c r="AW87" i="4"/>
  <c r="BJ86" i="4"/>
  <c r="BI86" i="4"/>
  <c r="BH86" i="4"/>
  <c r="BG86" i="4"/>
  <c r="BF86" i="4"/>
  <c r="BE86" i="4"/>
  <c r="BB86" i="4"/>
  <c r="BA86" i="4"/>
  <c r="AZ86" i="4"/>
  <c r="AY86" i="4"/>
  <c r="AX86" i="4"/>
  <c r="AW86" i="4"/>
  <c r="BJ85" i="4"/>
  <c r="BI85" i="4"/>
  <c r="BH85" i="4"/>
  <c r="BG85" i="4"/>
  <c r="BF85" i="4"/>
  <c r="BE85" i="4"/>
  <c r="BB85" i="4"/>
  <c r="BA85" i="4"/>
  <c r="AZ85" i="4"/>
  <c r="AY85" i="4"/>
  <c r="AX85" i="4"/>
  <c r="AW85" i="4"/>
  <c r="BJ84" i="4"/>
  <c r="BI84" i="4"/>
  <c r="BH84" i="4"/>
  <c r="BG84" i="4"/>
  <c r="BF84" i="4"/>
  <c r="BE84" i="4"/>
  <c r="BB84" i="4"/>
  <c r="BA84" i="4"/>
  <c r="AZ84" i="4"/>
  <c r="AY84" i="4"/>
  <c r="AX84" i="4"/>
  <c r="AW84" i="4"/>
  <c r="BJ83" i="4"/>
  <c r="BI83" i="4"/>
  <c r="BH83" i="4"/>
  <c r="BG83" i="4"/>
  <c r="BF83" i="4"/>
  <c r="BE83" i="4"/>
  <c r="BB83" i="4"/>
  <c r="BA83" i="4"/>
  <c r="AZ83" i="4"/>
  <c r="AY83" i="4"/>
  <c r="AX83" i="4"/>
  <c r="AW83" i="4"/>
  <c r="BJ82" i="4"/>
  <c r="BI82" i="4"/>
  <c r="BH82" i="4"/>
  <c r="BG82" i="4"/>
  <c r="BF82" i="4"/>
  <c r="BE82" i="4"/>
  <c r="BB82" i="4"/>
  <c r="BA82" i="4"/>
  <c r="AZ82" i="4"/>
  <c r="AY82" i="4"/>
  <c r="AX82" i="4"/>
  <c r="AW82" i="4"/>
  <c r="BJ81" i="4"/>
  <c r="BI81" i="4"/>
  <c r="BH81" i="4"/>
  <c r="BG81" i="4"/>
  <c r="BF81" i="4"/>
  <c r="BE81" i="4"/>
  <c r="BB81" i="4"/>
  <c r="BA81" i="4"/>
  <c r="AZ81" i="4"/>
  <c r="AY81" i="4"/>
  <c r="AX81" i="4"/>
  <c r="AW81" i="4"/>
  <c r="BJ80" i="4"/>
  <c r="BI80" i="4"/>
  <c r="BH80" i="4"/>
  <c r="BG80" i="4"/>
  <c r="BF80" i="4"/>
  <c r="BE80" i="4"/>
  <c r="BB80" i="4"/>
  <c r="BA80" i="4"/>
  <c r="AZ80" i="4"/>
  <c r="AY80" i="4"/>
  <c r="AX80" i="4"/>
  <c r="AW80" i="4"/>
  <c r="BJ79" i="4"/>
  <c r="BI79" i="4"/>
  <c r="BH79" i="4"/>
  <c r="BG79" i="4"/>
  <c r="BF79" i="4"/>
  <c r="BE79" i="4"/>
  <c r="BB79" i="4"/>
  <c r="BA79" i="4"/>
  <c r="AZ79" i="4"/>
  <c r="AY79" i="4"/>
  <c r="AX79" i="4"/>
  <c r="AW79" i="4"/>
  <c r="BJ78" i="4"/>
  <c r="BI78" i="4"/>
  <c r="BH78" i="4"/>
  <c r="BG78" i="4"/>
  <c r="BF78" i="4"/>
  <c r="BE78" i="4"/>
  <c r="BB78" i="4"/>
  <c r="BA78" i="4"/>
  <c r="AZ78" i="4"/>
  <c r="AY78" i="4"/>
  <c r="AX78" i="4"/>
  <c r="AW78" i="4"/>
  <c r="BJ77" i="4"/>
  <c r="BI77" i="4"/>
  <c r="BH77" i="4"/>
  <c r="BG77" i="4"/>
  <c r="BF77" i="4"/>
  <c r="BE77" i="4"/>
  <c r="BB77" i="4"/>
  <c r="BA77" i="4"/>
  <c r="AZ77" i="4"/>
  <c r="AY77" i="4"/>
  <c r="AX77" i="4"/>
  <c r="AW77" i="4"/>
  <c r="BJ76" i="4"/>
  <c r="BI76" i="4"/>
  <c r="BH76" i="4"/>
  <c r="BG76" i="4"/>
  <c r="BF76" i="4"/>
  <c r="BE76" i="4"/>
  <c r="BB76" i="4"/>
  <c r="BA76" i="4"/>
  <c r="AZ76" i="4"/>
  <c r="AY76" i="4"/>
  <c r="AX76" i="4"/>
  <c r="AW76" i="4"/>
  <c r="BJ75" i="4"/>
  <c r="BI75" i="4"/>
  <c r="BH75" i="4"/>
  <c r="BG75" i="4"/>
  <c r="BF75" i="4"/>
  <c r="BE75" i="4"/>
  <c r="BB75" i="4"/>
  <c r="BA75" i="4"/>
  <c r="AZ75" i="4"/>
  <c r="AY75" i="4"/>
  <c r="AX75" i="4"/>
  <c r="AW75" i="4"/>
  <c r="BJ74" i="4"/>
  <c r="BI74" i="4"/>
  <c r="BH74" i="4"/>
  <c r="BG74" i="4"/>
  <c r="BF74" i="4"/>
  <c r="BE74" i="4"/>
  <c r="BB74" i="4"/>
  <c r="BA74" i="4"/>
  <c r="AZ74" i="4"/>
  <c r="AY74" i="4"/>
  <c r="AX74" i="4"/>
  <c r="AW74" i="4"/>
  <c r="BJ73" i="4"/>
  <c r="BI73" i="4"/>
  <c r="BH73" i="4"/>
  <c r="BG73" i="4"/>
  <c r="BF73" i="4"/>
  <c r="BE73" i="4"/>
  <c r="BB73" i="4"/>
  <c r="BA73" i="4"/>
  <c r="AZ73" i="4"/>
  <c r="AY73" i="4"/>
  <c r="AX73" i="4"/>
  <c r="AW73" i="4"/>
  <c r="BJ72" i="4"/>
  <c r="BI72" i="4"/>
  <c r="BH72" i="4"/>
  <c r="BG72" i="4"/>
  <c r="BF72" i="4"/>
  <c r="BE72" i="4"/>
  <c r="BB72" i="4"/>
  <c r="BA72" i="4"/>
  <c r="AZ72" i="4"/>
  <c r="AY72" i="4"/>
  <c r="AX72" i="4"/>
  <c r="AW72" i="4"/>
  <c r="BJ71" i="4"/>
  <c r="BI71" i="4"/>
  <c r="BH71" i="4"/>
  <c r="BG71" i="4"/>
  <c r="BF71" i="4"/>
  <c r="BE71" i="4"/>
  <c r="BB71" i="4"/>
  <c r="BA71" i="4"/>
  <c r="AZ71" i="4"/>
  <c r="AY71" i="4"/>
  <c r="AX71" i="4"/>
  <c r="AW71" i="4"/>
  <c r="BJ70" i="4"/>
  <c r="BI70" i="4"/>
  <c r="BH70" i="4"/>
  <c r="BG70" i="4"/>
  <c r="BF70" i="4"/>
  <c r="BE70" i="4"/>
  <c r="BB70" i="4"/>
  <c r="BA70" i="4"/>
  <c r="AZ70" i="4"/>
  <c r="AY70" i="4"/>
  <c r="AX70" i="4"/>
  <c r="AW70" i="4"/>
  <c r="BJ69" i="4"/>
  <c r="BI69" i="4"/>
  <c r="BH69" i="4"/>
  <c r="BG69" i="4"/>
  <c r="BF69" i="4"/>
  <c r="BE69" i="4"/>
  <c r="BB69" i="4"/>
  <c r="BA69" i="4"/>
  <c r="AZ69" i="4"/>
  <c r="AY69" i="4"/>
  <c r="AX69" i="4"/>
  <c r="AW69" i="4"/>
  <c r="BJ68" i="4"/>
  <c r="BI68" i="4"/>
  <c r="BH68" i="4"/>
  <c r="BG68" i="4"/>
  <c r="BF68" i="4"/>
  <c r="BE68" i="4"/>
  <c r="BB68" i="4"/>
  <c r="BA68" i="4"/>
  <c r="AZ68" i="4"/>
  <c r="AY68" i="4"/>
  <c r="AX68" i="4"/>
  <c r="AW68" i="4"/>
  <c r="BJ67" i="4"/>
  <c r="BI67" i="4"/>
  <c r="BH67" i="4"/>
  <c r="BG67" i="4"/>
  <c r="BF67" i="4"/>
  <c r="BE67" i="4"/>
  <c r="BB67" i="4"/>
  <c r="BA67" i="4"/>
  <c r="AZ67" i="4"/>
  <c r="AY67" i="4"/>
  <c r="AX67" i="4"/>
  <c r="AW67" i="4"/>
  <c r="BJ66" i="4"/>
  <c r="BI66" i="4"/>
  <c r="BH66" i="4"/>
  <c r="BG66" i="4"/>
  <c r="BF66" i="4"/>
  <c r="BE66" i="4"/>
  <c r="BB66" i="4"/>
  <c r="BA66" i="4"/>
  <c r="AZ66" i="4"/>
  <c r="AY66" i="4"/>
  <c r="AX66" i="4"/>
  <c r="AW66" i="4"/>
  <c r="BJ65" i="4"/>
  <c r="BI65" i="4"/>
  <c r="BH65" i="4"/>
  <c r="BG65" i="4"/>
  <c r="BF65" i="4"/>
  <c r="BE65" i="4"/>
  <c r="BB65" i="4"/>
  <c r="BA65" i="4"/>
  <c r="AZ65" i="4"/>
  <c r="AY65" i="4"/>
  <c r="AX65" i="4"/>
  <c r="AW65" i="4"/>
  <c r="BJ64" i="4"/>
  <c r="BI64" i="4"/>
  <c r="BH64" i="4"/>
  <c r="BG64" i="4"/>
  <c r="BF64" i="4"/>
  <c r="BE64" i="4"/>
  <c r="BB64" i="4"/>
  <c r="BA64" i="4"/>
  <c r="AZ64" i="4"/>
  <c r="AY64" i="4"/>
  <c r="AX64" i="4"/>
  <c r="AW64" i="4"/>
  <c r="BJ63" i="4"/>
  <c r="BI63" i="4"/>
  <c r="BH63" i="4"/>
  <c r="BG63" i="4"/>
  <c r="BF63" i="4"/>
  <c r="BE63" i="4"/>
  <c r="BB63" i="4"/>
  <c r="BA63" i="4"/>
  <c r="AZ63" i="4"/>
  <c r="AY63" i="4"/>
  <c r="AX63" i="4"/>
  <c r="AW63" i="4"/>
  <c r="BJ62" i="4"/>
  <c r="BI62" i="4"/>
  <c r="BH62" i="4"/>
  <c r="BG62" i="4"/>
  <c r="BF62" i="4"/>
  <c r="BE62" i="4"/>
  <c r="BB62" i="4"/>
  <c r="BA62" i="4"/>
  <c r="AZ62" i="4"/>
  <c r="AY62" i="4"/>
  <c r="AX62" i="4"/>
  <c r="AW62" i="4"/>
  <c r="BJ61" i="4"/>
  <c r="BI61" i="4"/>
  <c r="BH61" i="4"/>
  <c r="BG61" i="4"/>
  <c r="BF61" i="4"/>
  <c r="BE61" i="4"/>
  <c r="BB61" i="4"/>
  <c r="BA61" i="4"/>
  <c r="AZ61" i="4"/>
  <c r="AY61" i="4"/>
  <c r="AX61" i="4"/>
  <c r="AW61" i="4"/>
  <c r="BJ60" i="4"/>
  <c r="BI60" i="4"/>
  <c r="BH60" i="4"/>
  <c r="BG60" i="4"/>
  <c r="BF60" i="4"/>
  <c r="BE60" i="4"/>
  <c r="BB60" i="4"/>
  <c r="BA60" i="4"/>
  <c r="AZ60" i="4"/>
  <c r="AY60" i="4"/>
  <c r="AX60" i="4"/>
  <c r="AW60" i="4"/>
  <c r="BJ59" i="4"/>
  <c r="BI59" i="4"/>
  <c r="BH59" i="4"/>
  <c r="BG59" i="4"/>
  <c r="BF59" i="4"/>
  <c r="BE59" i="4"/>
  <c r="BB59" i="4"/>
  <c r="BA59" i="4"/>
  <c r="AZ59" i="4"/>
  <c r="AY59" i="4"/>
  <c r="AX59" i="4"/>
  <c r="AW59" i="4"/>
  <c r="BJ58" i="4"/>
  <c r="BI58" i="4"/>
  <c r="BH58" i="4"/>
  <c r="BG58" i="4"/>
  <c r="BF58" i="4"/>
  <c r="BE58" i="4"/>
  <c r="BB58" i="4"/>
  <c r="BA58" i="4"/>
  <c r="AZ58" i="4"/>
  <c r="AY58" i="4"/>
  <c r="AX58" i="4"/>
  <c r="AW58" i="4"/>
  <c r="BJ57" i="4"/>
  <c r="BI57" i="4"/>
  <c r="BH57" i="4"/>
  <c r="BG57" i="4"/>
  <c r="BF57" i="4"/>
  <c r="BE57" i="4"/>
  <c r="BB57" i="4"/>
  <c r="BA57" i="4"/>
  <c r="AZ57" i="4"/>
  <c r="AY57" i="4"/>
  <c r="AX57" i="4"/>
  <c r="AW57" i="4"/>
  <c r="BJ56" i="4"/>
  <c r="BI56" i="4"/>
  <c r="BH56" i="4"/>
  <c r="BG56" i="4"/>
  <c r="BF56" i="4"/>
  <c r="BE56" i="4"/>
  <c r="BB56" i="4"/>
  <c r="BA56" i="4"/>
  <c r="AZ56" i="4"/>
  <c r="AY56" i="4"/>
  <c r="AX56" i="4"/>
  <c r="AW56" i="4"/>
  <c r="BJ55" i="4"/>
  <c r="BI55" i="4"/>
  <c r="BH55" i="4"/>
  <c r="BG55" i="4"/>
  <c r="BF55" i="4"/>
  <c r="BE55" i="4"/>
  <c r="BB55" i="4"/>
  <c r="BA55" i="4"/>
  <c r="AZ55" i="4"/>
  <c r="AY55" i="4"/>
  <c r="AX55" i="4"/>
  <c r="AW55" i="4"/>
  <c r="BJ54" i="4"/>
  <c r="BI54" i="4"/>
  <c r="BH54" i="4"/>
  <c r="BG54" i="4"/>
  <c r="BF54" i="4"/>
  <c r="BE54" i="4"/>
  <c r="BB54" i="4"/>
  <c r="BA54" i="4"/>
  <c r="AZ54" i="4"/>
  <c r="AY54" i="4"/>
  <c r="AX54" i="4"/>
  <c r="AW54" i="4"/>
  <c r="BJ53" i="4"/>
  <c r="BI53" i="4"/>
  <c r="BH53" i="4"/>
  <c r="BG53" i="4"/>
  <c r="BF53" i="4"/>
  <c r="BE53" i="4"/>
  <c r="BB53" i="4"/>
  <c r="BA53" i="4"/>
  <c r="AZ53" i="4"/>
  <c r="AY53" i="4"/>
  <c r="AX53" i="4"/>
  <c r="AW53" i="4"/>
  <c r="BJ52" i="4"/>
  <c r="BI52" i="4"/>
  <c r="BH52" i="4"/>
  <c r="BG52" i="4"/>
  <c r="BF52" i="4"/>
  <c r="BE52" i="4"/>
  <c r="BB52" i="4"/>
  <c r="BA52" i="4"/>
  <c r="AZ52" i="4"/>
  <c r="AY52" i="4"/>
  <c r="AX52" i="4"/>
  <c r="AW52" i="4"/>
  <c r="BJ51" i="4"/>
  <c r="BI51" i="4"/>
  <c r="BH51" i="4"/>
  <c r="BG51" i="4"/>
  <c r="BF51" i="4"/>
  <c r="BE51" i="4"/>
  <c r="BB51" i="4"/>
  <c r="BA51" i="4"/>
  <c r="AZ51" i="4"/>
  <c r="AY51" i="4"/>
  <c r="AX51" i="4"/>
  <c r="AW51" i="4"/>
  <c r="BJ50" i="4"/>
  <c r="BI50" i="4"/>
  <c r="BH50" i="4"/>
  <c r="BG50" i="4"/>
  <c r="BF50" i="4"/>
  <c r="BE50" i="4"/>
  <c r="BB50" i="4"/>
  <c r="BA50" i="4"/>
  <c r="AZ50" i="4"/>
  <c r="AY50" i="4"/>
  <c r="AX50" i="4"/>
  <c r="AW50" i="4"/>
  <c r="BJ49" i="4"/>
  <c r="BI49" i="4"/>
  <c r="BH49" i="4"/>
  <c r="BG49" i="4"/>
  <c r="BF49" i="4"/>
  <c r="BE49" i="4"/>
  <c r="BB49" i="4"/>
  <c r="BA49" i="4"/>
  <c r="AZ49" i="4"/>
  <c r="AY49" i="4"/>
  <c r="AX49" i="4"/>
  <c r="AW49" i="4"/>
  <c r="BJ48" i="4"/>
  <c r="BI48" i="4"/>
  <c r="BH48" i="4"/>
  <c r="BG48" i="4"/>
  <c r="BF48" i="4"/>
  <c r="BE48" i="4"/>
  <c r="BB48" i="4"/>
  <c r="BA48" i="4"/>
  <c r="AZ48" i="4"/>
  <c r="AY48" i="4"/>
  <c r="AX48" i="4"/>
  <c r="AW48" i="4"/>
  <c r="BJ47" i="4"/>
  <c r="BI47" i="4"/>
  <c r="BH47" i="4"/>
  <c r="BG47" i="4"/>
  <c r="BF47" i="4"/>
  <c r="BE47" i="4"/>
  <c r="BB47" i="4"/>
  <c r="BA47" i="4"/>
  <c r="AZ47" i="4"/>
  <c r="AY47" i="4"/>
  <c r="AX47" i="4"/>
  <c r="AW47" i="4"/>
  <c r="BJ46" i="4"/>
  <c r="BI46" i="4"/>
  <c r="BH46" i="4"/>
  <c r="BG46" i="4"/>
  <c r="BF46" i="4"/>
  <c r="BE46" i="4"/>
  <c r="BB46" i="4"/>
  <c r="BA46" i="4"/>
  <c r="AZ46" i="4"/>
  <c r="AY46" i="4"/>
  <c r="AX46" i="4"/>
  <c r="AW46" i="4"/>
  <c r="BJ45" i="4"/>
  <c r="BI45" i="4"/>
  <c r="BH45" i="4"/>
  <c r="BG45" i="4"/>
  <c r="BF45" i="4"/>
  <c r="BE45" i="4"/>
  <c r="BB45" i="4"/>
  <c r="BA45" i="4"/>
  <c r="AZ45" i="4"/>
  <c r="AY45" i="4"/>
  <c r="AX45" i="4"/>
  <c r="AW45" i="4"/>
  <c r="BJ44" i="4"/>
  <c r="BI44" i="4"/>
  <c r="BH44" i="4"/>
  <c r="BG44" i="4"/>
  <c r="BF44" i="4"/>
  <c r="BE44" i="4"/>
  <c r="BB44" i="4"/>
  <c r="BA44" i="4"/>
  <c r="AZ44" i="4"/>
  <c r="AY44" i="4"/>
  <c r="AX44" i="4"/>
  <c r="AW44" i="4"/>
  <c r="BJ43" i="4"/>
  <c r="BI43" i="4"/>
  <c r="BH43" i="4"/>
  <c r="BG43" i="4"/>
  <c r="BF43" i="4"/>
  <c r="BE43" i="4"/>
  <c r="BB43" i="4"/>
  <c r="BA43" i="4"/>
  <c r="AZ43" i="4"/>
  <c r="AY43" i="4"/>
  <c r="AX43" i="4"/>
  <c r="AW43" i="4"/>
  <c r="BJ42" i="4"/>
  <c r="BI42" i="4"/>
  <c r="BH42" i="4"/>
  <c r="BG42" i="4"/>
  <c r="BF42" i="4"/>
  <c r="BE42" i="4"/>
  <c r="BB42" i="4"/>
  <c r="BA42" i="4"/>
  <c r="AZ42" i="4"/>
  <c r="AY42" i="4"/>
  <c r="AX42" i="4"/>
  <c r="AW42" i="4"/>
  <c r="BJ41" i="4"/>
  <c r="BI41" i="4"/>
  <c r="BH41" i="4"/>
  <c r="BG41" i="4"/>
  <c r="BF41" i="4"/>
  <c r="BE41" i="4"/>
  <c r="BB41" i="4"/>
  <c r="BA41" i="4"/>
  <c r="AZ41" i="4"/>
  <c r="AY41" i="4"/>
  <c r="AX41" i="4"/>
  <c r="AW41" i="4"/>
  <c r="BJ40" i="4"/>
  <c r="BI40" i="4"/>
  <c r="BH40" i="4"/>
  <c r="BG40" i="4"/>
  <c r="BF40" i="4"/>
  <c r="BE40" i="4"/>
  <c r="BB40" i="4"/>
  <c r="BA40" i="4"/>
  <c r="AZ40" i="4"/>
  <c r="AY40" i="4"/>
  <c r="AX40" i="4"/>
  <c r="AW40" i="4"/>
  <c r="BJ39" i="4"/>
  <c r="BI39" i="4"/>
  <c r="BH39" i="4"/>
  <c r="BG39" i="4"/>
  <c r="BF39" i="4"/>
  <c r="BE39" i="4"/>
  <c r="BB39" i="4"/>
  <c r="BA39" i="4"/>
  <c r="AZ39" i="4"/>
  <c r="AY39" i="4"/>
  <c r="AX39" i="4"/>
  <c r="AW39" i="4"/>
  <c r="BJ38" i="4"/>
  <c r="BI38" i="4"/>
  <c r="BH38" i="4"/>
  <c r="BG38" i="4"/>
  <c r="BF38" i="4"/>
  <c r="BE38" i="4"/>
  <c r="BB38" i="4"/>
  <c r="BA38" i="4"/>
  <c r="AZ38" i="4"/>
  <c r="AY38" i="4"/>
  <c r="AX38" i="4"/>
  <c r="AW38" i="4"/>
  <c r="BJ37" i="4"/>
  <c r="BI37" i="4"/>
  <c r="BH37" i="4"/>
  <c r="BG37" i="4"/>
  <c r="BF37" i="4"/>
  <c r="BE37" i="4"/>
  <c r="BB37" i="4"/>
  <c r="BA37" i="4"/>
  <c r="AZ37" i="4"/>
  <c r="AY37" i="4"/>
  <c r="AX37" i="4"/>
  <c r="AW37" i="4"/>
  <c r="BJ36" i="4"/>
  <c r="BI36" i="4"/>
  <c r="BH36" i="4"/>
  <c r="BG36" i="4"/>
  <c r="BF36" i="4"/>
  <c r="BE36" i="4"/>
  <c r="BB36" i="4"/>
  <c r="BA36" i="4"/>
  <c r="AZ36" i="4"/>
  <c r="AY36" i="4"/>
  <c r="AX36" i="4"/>
  <c r="AW36" i="4"/>
  <c r="BJ35" i="4"/>
  <c r="BI35" i="4"/>
  <c r="BH35" i="4"/>
  <c r="BG35" i="4"/>
  <c r="BF35" i="4"/>
  <c r="BE35" i="4"/>
  <c r="BB35" i="4"/>
  <c r="BA35" i="4"/>
  <c r="AZ35" i="4"/>
  <c r="AY35" i="4"/>
  <c r="AX35" i="4"/>
  <c r="AW35" i="4"/>
  <c r="BJ34" i="4"/>
  <c r="BI34" i="4"/>
  <c r="BH34" i="4"/>
  <c r="BG34" i="4"/>
  <c r="BF34" i="4"/>
  <c r="BE34" i="4"/>
  <c r="BB34" i="4"/>
  <c r="BA34" i="4"/>
  <c r="AZ34" i="4"/>
  <c r="AY34" i="4"/>
  <c r="AX34" i="4"/>
  <c r="AW34" i="4"/>
  <c r="BJ33" i="4"/>
  <c r="BI33" i="4"/>
  <c r="BH33" i="4"/>
  <c r="BG33" i="4"/>
  <c r="BF33" i="4"/>
  <c r="BE33" i="4"/>
  <c r="BB33" i="4"/>
  <c r="BA33" i="4"/>
  <c r="AZ33" i="4"/>
  <c r="AY33" i="4"/>
  <c r="AX33" i="4"/>
  <c r="AW33" i="4"/>
  <c r="BJ32" i="4"/>
  <c r="BI32" i="4"/>
  <c r="BH32" i="4"/>
  <c r="BG32" i="4"/>
  <c r="BF32" i="4"/>
  <c r="BE32" i="4"/>
  <c r="BB32" i="4"/>
  <c r="BA32" i="4"/>
  <c r="AZ32" i="4"/>
  <c r="AY32" i="4"/>
  <c r="AX32" i="4"/>
  <c r="AW32" i="4"/>
  <c r="BJ31" i="4"/>
  <c r="BI31" i="4"/>
  <c r="BH31" i="4"/>
  <c r="BG31" i="4"/>
  <c r="BF31" i="4"/>
  <c r="BE31" i="4"/>
  <c r="BB31" i="4"/>
  <c r="BA31" i="4"/>
  <c r="AZ31" i="4"/>
  <c r="AY31" i="4"/>
  <c r="AX31" i="4"/>
  <c r="AW31" i="4"/>
  <c r="BJ30" i="4"/>
  <c r="BI30" i="4"/>
  <c r="BH30" i="4"/>
  <c r="BG30" i="4"/>
  <c r="BF30" i="4"/>
  <c r="BE30" i="4"/>
  <c r="BB30" i="4"/>
  <c r="BA30" i="4"/>
  <c r="AZ30" i="4"/>
  <c r="AY30" i="4"/>
  <c r="AX30" i="4"/>
  <c r="AW30" i="4"/>
  <c r="BJ29" i="4"/>
  <c r="BI29" i="4"/>
  <c r="BH29" i="4"/>
  <c r="BG29" i="4"/>
  <c r="BF29" i="4"/>
  <c r="BE29" i="4"/>
  <c r="BB29" i="4"/>
  <c r="BA29" i="4"/>
  <c r="AZ29" i="4"/>
  <c r="AY29" i="4"/>
  <c r="AX29" i="4"/>
  <c r="AW29" i="4"/>
  <c r="BJ28" i="4"/>
  <c r="BI28" i="4"/>
  <c r="BH28" i="4"/>
  <c r="BG28" i="4"/>
  <c r="BF28" i="4"/>
  <c r="BE28" i="4"/>
  <c r="BB28" i="4"/>
  <c r="BA28" i="4"/>
  <c r="AZ28" i="4"/>
  <c r="AY28" i="4"/>
  <c r="AX28" i="4"/>
  <c r="AW28" i="4"/>
  <c r="BJ27" i="4"/>
  <c r="BI27" i="4"/>
  <c r="BH27" i="4"/>
  <c r="BG27" i="4"/>
  <c r="BF27" i="4"/>
  <c r="BE27" i="4"/>
  <c r="BB27" i="4"/>
  <c r="BA27" i="4"/>
  <c r="AZ27" i="4"/>
  <c r="AY27" i="4"/>
  <c r="AX27" i="4"/>
  <c r="AW27" i="4"/>
  <c r="BJ26" i="4"/>
  <c r="BI26" i="4"/>
  <c r="BH26" i="4"/>
  <c r="BG26" i="4"/>
  <c r="BF26" i="4"/>
  <c r="BE26" i="4"/>
  <c r="BB26" i="4"/>
  <c r="BA26" i="4"/>
  <c r="AZ26" i="4"/>
  <c r="AY26" i="4"/>
  <c r="AX26" i="4"/>
  <c r="AW26" i="4"/>
  <c r="BJ25" i="4"/>
  <c r="BI25" i="4"/>
  <c r="BH25" i="4"/>
  <c r="BG25" i="4"/>
  <c r="BF25" i="4"/>
  <c r="BE25" i="4"/>
  <c r="BB25" i="4"/>
  <c r="BA25" i="4"/>
  <c r="AZ25" i="4"/>
  <c r="AY25" i="4"/>
  <c r="AX25" i="4"/>
  <c r="AW25" i="4"/>
  <c r="BJ24" i="4"/>
  <c r="BI24" i="4"/>
  <c r="BH24" i="4"/>
  <c r="BG24" i="4"/>
  <c r="BF24" i="4"/>
  <c r="BE24" i="4"/>
  <c r="BB24" i="4"/>
  <c r="BA24" i="4"/>
  <c r="AZ24" i="4"/>
  <c r="AY24" i="4"/>
  <c r="AX24" i="4"/>
  <c r="AW24" i="4"/>
  <c r="BJ23" i="4"/>
  <c r="BI23" i="4"/>
  <c r="BH23" i="4"/>
  <c r="BG23" i="4"/>
  <c r="BF23" i="4"/>
  <c r="BE23" i="4"/>
  <c r="BB23" i="4"/>
  <c r="BA23" i="4"/>
  <c r="AZ23" i="4"/>
  <c r="AY23" i="4"/>
  <c r="AX23" i="4"/>
  <c r="AW23" i="4"/>
  <c r="BJ22" i="4"/>
  <c r="BI22" i="4"/>
  <c r="BH22" i="4"/>
  <c r="BG22" i="4"/>
  <c r="BF22" i="4"/>
  <c r="BE22" i="4"/>
  <c r="BB22" i="4"/>
  <c r="BA22" i="4"/>
  <c r="AZ22" i="4"/>
  <c r="AY22" i="4"/>
  <c r="AX22" i="4"/>
  <c r="AW22" i="4"/>
  <c r="BJ21" i="4"/>
  <c r="BI21" i="4"/>
  <c r="BH21" i="4"/>
  <c r="BG21" i="4"/>
  <c r="BF21" i="4"/>
  <c r="BE21" i="4"/>
  <c r="BB21" i="4"/>
  <c r="BA21" i="4"/>
  <c r="AZ21" i="4"/>
  <c r="AY21" i="4"/>
  <c r="AX21" i="4"/>
  <c r="AW21" i="4"/>
  <c r="BJ20" i="4"/>
  <c r="BI20" i="4"/>
  <c r="BH20" i="4"/>
  <c r="BG20" i="4"/>
  <c r="BF20" i="4"/>
  <c r="BE20" i="4"/>
  <c r="BB20" i="4"/>
  <c r="BA20" i="4"/>
  <c r="AZ20" i="4"/>
  <c r="AY20" i="4"/>
  <c r="AX20" i="4"/>
  <c r="AW20" i="4"/>
  <c r="BJ19" i="4"/>
  <c r="BI19" i="4"/>
  <c r="BH19" i="4"/>
  <c r="BG19" i="4"/>
  <c r="BF19" i="4"/>
  <c r="BE19" i="4"/>
  <c r="BB19" i="4"/>
  <c r="BA19" i="4"/>
  <c r="AZ19" i="4"/>
  <c r="AY19" i="4"/>
  <c r="AX19" i="4"/>
  <c r="AW19" i="4"/>
  <c r="BJ18" i="4"/>
  <c r="BI18" i="4"/>
  <c r="BH18" i="4"/>
  <c r="BG18" i="4"/>
  <c r="BF18" i="4"/>
  <c r="BE18" i="4"/>
  <c r="BB18" i="4"/>
  <c r="BA18" i="4"/>
  <c r="AZ18" i="4"/>
  <c r="AY18" i="4"/>
  <c r="AX18" i="4"/>
  <c r="AW18" i="4"/>
  <c r="BJ17" i="4"/>
  <c r="BI17" i="4"/>
  <c r="BH17" i="4"/>
  <c r="BG17" i="4"/>
  <c r="BF17" i="4"/>
  <c r="BE17" i="4"/>
  <c r="BB17" i="4"/>
  <c r="BA17" i="4"/>
  <c r="AZ17" i="4"/>
  <c r="AY17" i="4"/>
  <c r="AX17" i="4"/>
  <c r="AW17" i="4"/>
  <c r="BJ16" i="4"/>
  <c r="BI16" i="4"/>
  <c r="BH16" i="4"/>
  <c r="BG16" i="4"/>
  <c r="BF16" i="4"/>
  <c r="BE16" i="4"/>
  <c r="BB16" i="4"/>
  <c r="BA16" i="4"/>
  <c r="AZ16" i="4"/>
  <c r="AY16" i="4"/>
  <c r="AX16" i="4"/>
  <c r="AW16" i="4"/>
  <c r="BJ15" i="4"/>
  <c r="BI15" i="4"/>
  <c r="BH15" i="4"/>
  <c r="BG15" i="4"/>
  <c r="BF15" i="4"/>
  <c r="BE15" i="4"/>
  <c r="BB15" i="4"/>
  <c r="BA15" i="4"/>
  <c r="AZ15" i="4"/>
  <c r="AY15" i="4"/>
  <c r="AX15" i="4"/>
  <c r="AW15" i="4"/>
  <c r="BJ14" i="4"/>
  <c r="BI14" i="4"/>
  <c r="BH14" i="4"/>
  <c r="BG14" i="4"/>
  <c r="BF14" i="4"/>
  <c r="BE14" i="4"/>
  <c r="BB14" i="4"/>
  <c r="BA14" i="4"/>
  <c r="AZ14" i="4"/>
  <c r="AY14" i="4"/>
  <c r="AX14" i="4"/>
  <c r="AW14" i="4"/>
  <c r="BJ13" i="4"/>
  <c r="BI13" i="4"/>
  <c r="BH13" i="4"/>
  <c r="BG13" i="4"/>
  <c r="BF13" i="4"/>
  <c r="BE13" i="4"/>
  <c r="BB13" i="4"/>
  <c r="BA13" i="4"/>
  <c r="AZ13" i="4"/>
  <c r="AY13" i="4"/>
  <c r="AX13" i="4"/>
  <c r="AW13" i="4"/>
  <c r="BJ12" i="4"/>
  <c r="BI12" i="4"/>
  <c r="BH12" i="4"/>
  <c r="BG12" i="4"/>
  <c r="BF12" i="4"/>
  <c r="BE12" i="4"/>
  <c r="BB12" i="4"/>
  <c r="BA12" i="4"/>
  <c r="AZ12" i="4"/>
  <c r="AY12" i="4"/>
  <c r="AX12" i="4"/>
  <c r="AW12" i="4"/>
  <c r="BJ11" i="4"/>
  <c r="BI11" i="4"/>
  <c r="BH11" i="4"/>
  <c r="BG11" i="4"/>
  <c r="BF11" i="4"/>
  <c r="BE11" i="4"/>
  <c r="BB11" i="4"/>
  <c r="BA11" i="4"/>
  <c r="AZ11" i="4"/>
  <c r="AY11" i="4"/>
  <c r="AX11" i="4"/>
  <c r="AW11" i="4"/>
  <c r="BJ10" i="4"/>
  <c r="BI10" i="4"/>
  <c r="BH10" i="4"/>
  <c r="BG10" i="4"/>
  <c r="BF10" i="4"/>
  <c r="BE10" i="4"/>
  <c r="BB10" i="4"/>
  <c r="BA10" i="4"/>
  <c r="AZ10" i="4"/>
  <c r="AY10" i="4"/>
  <c r="AX10" i="4"/>
  <c r="AW10" i="4"/>
  <c r="BJ9" i="4"/>
  <c r="BI9" i="4"/>
  <c r="BH9" i="4"/>
  <c r="BG9" i="4"/>
  <c r="BF9" i="4"/>
  <c r="BE9" i="4"/>
  <c r="BB9" i="4"/>
  <c r="BA9" i="4"/>
  <c r="AZ9" i="4"/>
  <c r="AY9" i="4"/>
  <c r="AX9" i="4"/>
  <c r="AW9" i="4"/>
  <c r="BJ8" i="4"/>
  <c r="BI8" i="4"/>
  <c r="BH8" i="4"/>
  <c r="BG8" i="4"/>
  <c r="BF8" i="4"/>
  <c r="BE8" i="4"/>
  <c r="BB8" i="4"/>
  <c r="BA8" i="4"/>
  <c r="AZ8" i="4"/>
  <c r="AY8" i="4"/>
  <c r="AX8" i="4"/>
  <c r="AW8" i="4"/>
  <c r="BJ7" i="4"/>
  <c r="BI7" i="4"/>
  <c r="BH7" i="4"/>
  <c r="BG7" i="4"/>
  <c r="BF7" i="4"/>
  <c r="BE7" i="4"/>
  <c r="BB7" i="4"/>
  <c r="BA7" i="4"/>
  <c r="AZ7" i="4"/>
  <c r="AY7" i="4"/>
  <c r="AX7" i="4"/>
  <c r="AW7" i="4"/>
  <c r="BJ6" i="4"/>
  <c r="BI6" i="4"/>
  <c r="BH6" i="4"/>
  <c r="BG6" i="4"/>
  <c r="BF6" i="4"/>
  <c r="BE6" i="4"/>
  <c r="BB6" i="4"/>
  <c r="BA6" i="4"/>
  <c r="AZ6" i="4"/>
  <c r="AY6" i="4"/>
  <c r="AX6" i="4"/>
  <c r="AW6" i="4"/>
  <c r="BS259" i="1"/>
  <c r="BR259" i="1"/>
  <c r="BQ259" i="1"/>
  <c r="BP259" i="1"/>
  <c r="BO259" i="1"/>
  <c r="BN259" i="1"/>
  <c r="BM259" i="1"/>
  <c r="BL259" i="1"/>
  <c r="BK259" i="1"/>
  <c r="BJ259" i="1"/>
  <c r="BG259" i="1"/>
  <c r="BF259" i="1"/>
  <c r="BE259" i="1"/>
  <c r="BD259" i="1"/>
  <c r="BC259" i="1"/>
  <c r="BB259" i="1"/>
  <c r="BA259" i="1"/>
  <c r="AZ259" i="1"/>
  <c r="AY259" i="1"/>
  <c r="AX259" i="1"/>
  <c r="BS258" i="1"/>
  <c r="BR258" i="1"/>
  <c r="BQ258" i="1"/>
  <c r="BP258" i="1"/>
  <c r="BO258" i="1"/>
  <c r="BN258" i="1"/>
  <c r="BM258" i="1"/>
  <c r="BL258" i="1"/>
  <c r="BK258" i="1"/>
  <c r="BJ258" i="1"/>
  <c r="BG258" i="1"/>
  <c r="BF258" i="1"/>
  <c r="BE258" i="1"/>
  <c r="BD258" i="1"/>
  <c r="BC258" i="1"/>
  <c r="BB258" i="1"/>
  <c r="BA258" i="1"/>
  <c r="AZ258" i="1"/>
  <c r="AY258" i="1"/>
  <c r="AX258" i="1"/>
  <c r="BS257" i="1"/>
  <c r="BR257" i="1"/>
  <c r="BQ257" i="1"/>
  <c r="BP257" i="1"/>
  <c r="BO257" i="1"/>
  <c r="BN257" i="1"/>
  <c r="BM257" i="1"/>
  <c r="BL257" i="1"/>
  <c r="BK257" i="1"/>
  <c r="BJ257" i="1"/>
  <c r="BG257" i="1"/>
  <c r="BF257" i="1"/>
  <c r="BE257" i="1"/>
  <c r="BD257" i="1"/>
  <c r="BC257" i="1"/>
  <c r="BB257" i="1"/>
  <c r="BA257" i="1"/>
  <c r="AZ257" i="1"/>
  <c r="AY257" i="1"/>
  <c r="AX257" i="1"/>
  <c r="BS256" i="1"/>
  <c r="BR256" i="1"/>
  <c r="BQ256" i="1"/>
  <c r="BP256" i="1"/>
  <c r="BO256" i="1"/>
  <c r="BN256" i="1"/>
  <c r="BM256" i="1"/>
  <c r="BL256" i="1"/>
  <c r="BK256" i="1"/>
  <c r="BJ256" i="1"/>
  <c r="BG256" i="1"/>
  <c r="BF256" i="1"/>
  <c r="BE256" i="1"/>
  <c r="BD256" i="1"/>
  <c r="BC256" i="1"/>
  <c r="BB256" i="1"/>
  <c r="BA256" i="1"/>
  <c r="AZ256" i="1"/>
  <c r="AY256" i="1"/>
  <c r="AX256" i="1"/>
  <c r="BS255" i="1"/>
  <c r="BR255" i="1"/>
  <c r="BQ255" i="1"/>
  <c r="BP255" i="1"/>
  <c r="BO255" i="1"/>
  <c r="BN255" i="1"/>
  <c r="BM255" i="1"/>
  <c r="BL255" i="1"/>
  <c r="BK255" i="1"/>
  <c r="BJ255" i="1"/>
  <c r="BG255" i="1"/>
  <c r="BF255" i="1"/>
  <c r="BE255" i="1"/>
  <c r="BD255" i="1"/>
  <c r="BC255" i="1"/>
  <c r="BB255" i="1"/>
  <c r="BA255" i="1"/>
  <c r="AZ255" i="1"/>
  <c r="AY255" i="1"/>
  <c r="AX255" i="1"/>
  <c r="BS254" i="1"/>
  <c r="BR254" i="1"/>
  <c r="BQ254" i="1"/>
  <c r="BP254" i="1"/>
  <c r="BO254" i="1"/>
  <c r="BN254" i="1"/>
  <c r="BM254" i="1"/>
  <c r="BL254" i="1"/>
  <c r="BK254" i="1"/>
  <c r="BJ254" i="1"/>
  <c r="BG254" i="1"/>
  <c r="BF254" i="1"/>
  <c r="BE254" i="1"/>
  <c r="BD254" i="1"/>
  <c r="BC254" i="1"/>
  <c r="BB254" i="1"/>
  <c r="BA254" i="1"/>
  <c r="AZ254" i="1"/>
  <c r="AY254" i="1"/>
  <c r="AX254" i="1"/>
  <c r="BS253" i="1"/>
  <c r="BR253" i="1"/>
  <c r="BQ253" i="1"/>
  <c r="BP253" i="1"/>
  <c r="BO253" i="1"/>
  <c r="BN253" i="1"/>
  <c r="BM253" i="1"/>
  <c r="BL253" i="1"/>
  <c r="BK253" i="1"/>
  <c r="BJ253" i="1"/>
  <c r="BG253" i="1"/>
  <c r="BF253" i="1"/>
  <c r="BE253" i="1"/>
  <c r="BD253" i="1"/>
  <c r="BC253" i="1"/>
  <c r="BB253" i="1"/>
  <c r="BA253" i="1"/>
  <c r="AZ253" i="1"/>
  <c r="AY253" i="1"/>
  <c r="AX253" i="1"/>
  <c r="BS252" i="1"/>
  <c r="BR252" i="1"/>
  <c r="BQ252" i="1"/>
  <c r="BP252" i="1"/>
  <c r="BO252" i="1"/>
  <c r="BN252" i="1"/>
  <c r="BM252" i="1"/>
  <c r="BL252" i="1"/>
  <c r="BK252" i="1"/>
  <c r="BJ252" i="1"/>
  <c r="BG252" i="1"/>
  <c r="BF252" i="1"/>
  <c r="BE252" i="1"/>
  <c r="BD252" i="1"/>
  <c r="BC252" i="1"/>
  <c r="BB252" i="1"/>
  <c r="BA252" i="1"/>
  <c r="AZ252" i="1"/>
  <c r="AY252" i="1"/>
  <c r="AX252" i="1"/>
  <c r="BS251" i="1"/>
  <c r="BR251" i="1"/>
  <c r="BQ251" i="1"/>
  <c r="BP251" i="1"/>
  <c r="BO251" i="1"/>
  <c r="BN251" i="1"/>
  <c r="BM251" i="1"/>
  <c r="BL251" i="1"/>
  <c r="BK251" i="1"/>
  <c r="BJ251" i="1"/>
  <c r="BG251" i="1"/>
  <c r="BF251" i="1"/>
  <c r="BE251" i="1"/>
  <c r="BD251" i="1"/>
  <c r="BC251" i="1"/>
  <c r="BB251" i="1"/>
  <c r="BA251" i="1"/>
  <c r="AZ251" i="1"/>
  <c r="AY251" i="1"/>
  <c r="AX251" i="1"/>
  <c r="BS250" i="1"/>
  <c r="BR250" i="1"/>
  <c r="BQ250" i="1"/>
  <c r="BP250" i="1"/>
  <c r="BO250" i="1"/>
  <c r="BN250" i="1"/>
  <c r="BM250" i="1"/>
  <c r="BL250" i="1"/>
  <c r="BK250" i="1"/>
  <c r="BJ250" i="1"/>
  <c r="BG250" i="1"/>
  <c r="BF250" i="1"/>
  <c r="BE250" i="1"/>
  <c r="BD250" i="1"/>
  <c r="BC250" i="1"/>
  <c r="BB250" i="1"/>
  <c r="BA250" i="1"/>
  <c r="AZ250" i="1"/>
  <c r="AY250" i="1"/>
  <c r="AX250" i="1"/>
  <c r="BS249" i="1"/>
  <c r="BR249" i="1"/>
  <c r="BQ249" i="1"/>
  <c r="BP249" i="1"/>
  <c r="BO249" i="1"/>
  <c r="BN249" i="1"/>
  <c r="BM249" i="1"/>
  <c r="BL249" i="1"/>
  <c r="BK249" i="1"/>
  <c r="BJ249" i="1"/>
  <c r="BG249" i="1"/>
  <c r="BF249" i="1"/>
  <c r="BE249" i="1"/>
  <c r="BD249" i="1"/>
  <c r="BC249" i="1"/>
  <c r="BB249" i="1"/>
  <c r="BA249" i="1"/>
  <c r="AZ249" i="1"/>
  <c r="AY249" i="1"/>
  <c r="AX249" i="1"/>
  <c r="BS248" i="1"/>
  <c r="BR248" i="1"/>
  <c r="BQ248" i="1"/>
  <c r="BP248" i="1"/>
  <c r="BO248" i="1"/>
  <c r="BN248" i="1"/>
  <c r="BM248" i="1"/>
  <c r="BL248" i="1"/>
  <c r="BK248" i="1"/>
  <c r="BJ248" i="1"/>
  <c r="BG248" i="1"/>
  <c r="BF248" i="1"/>
  <c r="BE248" i="1"/>
  <c r="BD248" i="1"/>
  <c r="BC248" i="1"/>
  <c r="BB248" i="1"/>
  <c r="BA248" i="1"/>
  <c r="AZ248" i="1"/>
  <c r="AY248" i="1"/>
  <c r="AX248" i="1"/>
  <c r="BS247" i="1"/>
  <c r="BR247" i="1"/>
  <c r="BQ247" i="1"/>
  <c r="BP247" i="1"/>
  <c r="BO247" i="1"/>
  <c r="BN247" i="1"/>
  <c r="BM247" i="1"/>
  <c r="BL247" i="1"/>
  <c r="BK247" i="1"/>
  <c r="BJ247" i="1"/>
  <c r="BG247" i="1"/>
  <c r="BF247" i="1"/>
  <c r="BE247" i="1"/>
  <c r="BD247" i="1"/>
  <c r="BC247" i="1"/>
  <c r="BB247" i="1"/>
  <c r="BA247" i="1"/>
  <c r="AZ247" i="1"/>
  <c r="AY247" i="1"/>
  <c r="AX247" i="1"/>
  <c r="BS246" i="1"/>
  <c r="BR246" i="1"/>
  <c r="BQ246" i="1"/>
  <c r="BP246" i="1"/>
  <c r="BO246" i="1"/>
  <c r="BN246" i="1"/>
  <c r="BM246" i="1"/>
  <c r="BL246" i="1"/>
  <c r="BK246" i="1"/>
  <c r="BJ246" i="1"/>
  <c r="BG246" i="1"/>
  <c r="BF246" i="1"/>
  <c r="BE246" i="1"/>
  <c r="BD246" i="1"/>
  <c r="BC246" i="1"/>
  <c r="BB246" i="1"/>
  <c r="BA246" i="1"/>
  <c r="AZ246" i="1"/>
  <c r="AY246" i="1"/>
  <c r="AX246" i="1"/>
  <c r="BS245" i="1"/>
  <c r="BR245" i="1"/>
  <c r="BQ245" i="1"/>
  <c r="BP245" i="1"/>
  <c r="BO245" i="1"/>
  <c r="BN245" i="1"/>
  <c r="BM245" i="1"/>
  <c r="BL245" i="1"/>
  <c r="BK245" i="1"/>
  <c r="BJ245" i="1"/>
  <c r="BG245" i="1"/>
  <c r="BF245" i="1"/>
  <c r="BE245" i="1"/>
  <c r="BD245" i="1"/>
  <c r="BC245" i="1"/>
  <c r="BB245" i="1"/>
  <c r="BA245" i="1"/>
  <c r="AZ245" i="1"/>
  <c r="AY245" i="1"/>
  <c r="AX245" i="1"/>
  <c r="BS244" i="1"/>
  <c r="BR244" i="1"/>
  <c r="BQ244" i="1"/>
  <c r="BP244" i="1"/>
  <c r="BO244" i="1"/>
  <c r="BN244" i="1"/>
  <c r="BM244" i="1"/>
  <c r="BL244" i="1"/>
  <c r="BK244" i="1"/>
  <c r="BJ244" i="1"/>
  <c r="BG244" i="1"/>
  <c r="BF244" i="1"/>
  <c r="BE244" i="1"/>
  <c r="BD244" i="1"/>
  <c r="BC244" i="1"/>
  <c r="BB244" i="1"/>
  <c r="BA244" i="1"/>
  <c r="AZ244" i="1"/>
  <c r="AY244" i="1"/>
  <c r="AX244" i="1"/>
  <c r="BS243" i="1"/>
  <c r="BR243" i="1"/>
  <c r="BQ243" i="1"/>
  <c r="BP243" i="1"/>
  <c r="BO243" i="1"/>
  <c r="BN243" i="1"/>
  <c r="BM243" i="1"/>
  <c r="BL243" i="1"/>
  <c r="BK243" i="1"/>
  <c r="BJ243" i="1"/>
  <c r="BG243" i="1"/>
  <c r="BF243" i="1"/>
  <c r="BE243" i="1"/>
  <c r="BD243" i="1"/>
  <c r="BC243" i="1"/>
  <c r="BB243" i="1"/>
  <c r="BA243" i="1"/>
  <c r="AZ243" i="1"/>
  <c r="AY243" i="1"/>
  <c r="AX243" i="1"/>
  <c r="BS242" i="1"/>
  <c r="BR242" i="1"/>
  <c r="BQ242" i="1"/>
  <c r="BP242" i="1"/>
  <c r="BO242" i="1"/>
  <c r="BN242" i="1"/>
  <c r="BM242" i="1"/>
  <c r="BL242" i="1"/>
  <c r="BK242" i="1"/>
  <c r="BJ242" i="1"/>
  <c r="BG242" i="1"/>
  <c r="BF242" i="1"/>
  <c r="BE242" i="1"/>
  <c r="BD242" i="1"/>
  <c r="BC242" i="1"/>
  <c r="BB242" i="1"/>
  <c r="BA242" i="1"/>
  <c r="AZ242" i="1"/>
  <c r="AY242" i="1"/>
  <c r="AX242" i="1"/>
  <c r="BS241" i="1"/>
  <c r="BR241" i="1"/>
  <c r="BQ241" i="1"/>
  <c r="BP241" i="1"/>
  <c r="BO241" i="1"/>
  <c r="BN241" i="1"/>
  <c r="BM241" i="1"/>
  <c r="BL241" i="1"/>
  <c r="BK241" i="1"/>
  <c r="BJ241" i="1"/>
  <c r="BG241" i="1"/>
  <c r="BF241" i="1"/>
  <c r="BE241" i="1"/>
  <c r="BD241" i="1"/>
  <c r="BC241" i="1"/>
  <c r="BB241" i="1"/>
  <c r="BA241" i="1"/>
  <c r="AZ241" i="1"/>
  <c r="AY241" i="1"/>
  <c r="AX241" i="1"/>
  <c r="BS240" i="1"/>
  <c r="BR240" i="1"/>
  <c r="BQ240" i="1"/>
  <c r="BP240" i="1"/>
  <c r="BO240" i="1"/>
  <c r="BN240" i="1"/>
  <c r="BM240" i="1"/>
  <c r="BL240" i="1"/>
  <c r="BK240" i="1"/>
  <c r="BJ240" i="1"/>
  <c r="BG240" i="1"/>
  <c r="BF240" i="1"/>
  <c r="BE240" i="1"/>
  <c r="BD240" i="1"/>
  <c r="BC240" i="1"/>
  <c r="BB240" i="1"/>
  <c r="BA240" i="1"/>
  <c r="AZ240" i="1"/>
  <c r="AY240" i="1"/>
  <c r="AX240" i="1"/>
  <c r="BS239" i="1"/>
  <c r="BR239" i="1"/>
  <c r="BQ239" i="1"/>
  <c r="BP239" i="1"/>
  <c r="BO239" i="1"/>
  <c r="BN239" i="1"/>
  <c r="BM239" i="1"/>
  <c r="BL239" i="1"/>
  <c r="BK239" i="1"/>
  <c r="BJ239" i="1"/>
  <c r="BG239" i="1"/>
  <c r="BF239" i="1"/>
  <c r="BE239" i="1"/>
  <c r="BD239" i="1"/>
  <c r="BC239" i="1"/>
  <c r="BB239" i="1"/>
  <c r="BA239" i="1"/>
  <c r="AZ239" i="1"/>
  <c r="AY239" i="1"/>
  <c r="AX239" i="1"/>
  <c r="BS238" i="1"/>
  <c r="BR238" i="1"/>
  <c r="BQ238" i="1"/>
  <c r="BP238" i="1"/>
  <c r="BO238" i="1"/>
  <c r="BN238" i="1"/>
  <c r="BM238" i="1"/>
  <c r="BL238" i="1"/>
  <c r="BK238" i="1"/>
  <c r="BJ238" i="1"/>
  <c r="BG238" i="1"/>
  <c r="BF238" i="1"/>
  <c r="BE238" i="1"/>
  <c r="BD238" i="1"/>
  <c r="BC238" i="1"/>
  <c r="BB238" i="1"/>
  <c r="BA238" i="1"/>
  <c r="AZ238" i="1"/>
  <c r="AY238" i="1"/>
  <c r="AX238" i="1"/>
  <c r="BS237" i="1"/>
  <c r="BR237" i="1"/>
  <c r="BQ237" i="1"/>
  <c r="BP237" i="1"/>
  <c r="BO237" i="1"/>
  <c r="BN237" i="1"/>
  <c r="BM237" i="1"/>
  <c r="BL237" i="1"/>
  <c r="BK237" i="1"/>
  <c r="BJ237" i="1"/>
  <c r="BG237" i="1"/>
  <c r="BF237" i="1"/>
  <c r="BE237" i="1"/>
  <c r="BD237" i="1"/>
  <c r="BC237" i="1"/>
  <c r="BB237" i="1"/>
  <c r="BA237" i="1"/>
  <c r="AZ237" i="1"/>
  <c r="AY237" i="1"/>
  <c r="AX237" i="1"/>
  <c r="BS236" i="1"/>
  <c r="BR236" i="1"/>
  <c r="BQ236" i="1"/>
  <c r="BP236" i="1"/>
  <c r="BO236" i="1"/>
  <c r="BN236" i="1"/>
  <c r="BM236" i="1"/>
  <c r="BL236" i="1"/>
  <c r="BK236" i="1"/>
  <c r="BJ236" i="1"/>
  <c r="BG236" i="1"/>
  <c r="BF236" i="1"/>
  <c r="BE236" i="1"/>
  <c r="BD236" i="1"/>
  <c r="BC236" i="1"/>
  <c r="BB236" i="1"/>
  <c r="BA236" i="1"/>
  <c r="AZ236" i="1"/>
  <c r="AY236" i="1"/>
  <c r="AX236" i="1"/>
  <c r="BS235" i="1"/>
  <c r="BR235" i="1"/>
  <c r="BQ235" i="1"/>
  <c r="BP235" i="1"/>
  <c r="BO235" i="1"/>
  <c r="BN235" i="1"/>
  <c r="BM235" i="1"/>
  <c r="BL235" i="1"/>
  <c r="BK235" i="1"/>
  <c r="BJ235" i="1"/>
  <c r="BG235" i="1"/>
  <c r="BF235" i="1"/>
  <c r="BE235" i="1"/>
  <c r="BD235" i="1"/>
  <c r="BC235" i="1"/>
  <c r="BB235" i="1"/>
  <c r="BA235" i="1"/>
  <c r="AZ235" i="1"/>
  <c r="AY235" i="1"/>
  <c r="AX235" i="1"/>
  <c r="BS234" i="1"/>
  <c r="BR234" i="1"/>
  <c r="BQ234" i="1"/>
  <c r="BP234" i="1"/>
  <c r="BO234" i="1"/>
  <c r="BN234" i="1"/>
  <c r="BM234" i="1"/>
  <c r="BL234" i="1"/>
  <c r="BK234" i="1"/>
  <c r="BJ234" i="1"/>
  <c r="BG234" i="1"/>
  <c r="BF234" i="1"/>
  <c r="BE234" i="1"/>
  <c r="BD234" i="1"/>
  <c r="BC234" i="1"/>
  <c r="BB234" i="1"/>
  <c r="BA234" i="1"/>
  <c r="AZ234" i="1"/>
  <c r="AY234" i="1"/>
  <c r="AX234" i="1"/>
  <c r="BS233" i="1"/>
  <c r="BR233" i="1"/>
  <c r="BQ233" i="1"/>
  <c r="BP233" i="1"/>
  <c r="BO233" i="1"/>
  <c r="BN233" i="1"/>
  <c r="BM233" i="1"/>
  <c r="BL233" i="1"/>
  <c r="BK233" i="1"/>
  <c r="BJ233" i="1"/>
  <c r="BG233" i="1"/>
  <c r="BF233" i="1"/>
  <c r="BE233" i="1"/>
  <c r="BD233" i="1"/>
  <c r="BC233" i="1"/>
  <c r="BB233" i="1"/>
  <c r="BA233" i="1"/>
  <c r="AZ233" i="1"/>
  <c r="AY233" i="1"/>
  <c r="AX233" i="1"/>
  <c r="BS232" i="1"/>
  <c r="BR232" i="1"/>
  <c r="BQ232" i="1"/>
  <c r="BP232" i="1"/>
  <c r="BO232" i="1"/>
  <c r="BN232" i="1"/>
  <c r="BM232" i="1"/>
  <c r="BL232" i="1"/>
  <c r="BK232" i="1"/>
  <c r="BJ232" i="1"/>
  <c r="BG232" i="1"/>
  <c r="BF232" i="1"/>
  <c r="BE232" i="1"/>
  <c r="BD232" i="1"/>
  <c r="BC232" i="1"/>
  <c r="BB232" i="1"/>
  <c r="BA232" i="1"/>
  <c r="AZ232" i="1"/>
  <c r="AY232" i="1"/>
  <c r="AX232" i="1"/>
  <c r="BS231" i="1"/>
  <c r="BR231" i="1"/>
  <c r="BQ231" i="1"/>
  <c r="BP231" i="1"/>
  <c r="BO231" i="1"/>
  <c r="BN231" i="1"/>
  <c r="BM231" i="1"/>
  <c r="BL231" i="1"/>
  <c r="BK231" i="1"/>
  <c r="BJ231" i="1"/>
  <c r="BG231" i="1"/>
  <c r="BF231" i="1"/>
  <c r="BE231" i="1"/>
  <c r="BD231" i="1"/>
  <c r="BC231" i="1"/>
  <c r="BB231" i="1"/>
  <c r="BA231" i="1"/>
  <c r="AZ231" i="1"/>
  <c r="AY231" i="1"/>
  <c r="AX231" i="1"/>
  <c r="BS230" i="1"/>
  <c r="BR230" i="1"/>
  <c r="BQ230" i="1"/>
  <c r="BP230" i="1"/>
  <c r="BO230" i="1"/>
  <c r="BN230" i="1"/>
  <c r="BM230" i="1"/>
  <c r="BL230" i="1"/>
  <c r="BK230" i="1"/>
  <c r="BJ230" i="1"/>
  <c r="BG230" i="1"/>
  <c r="BF230" i="1"/>
  <c r="BE230" i="1"/>
  <c r="BD230" i="1"/>
  <c r="BC230" i="1"/>
  <c r="BB230" i="1"/>
  <c r="BA230" i="1"/>
  <c r="AZ230" i="1"/>
  <c r="AY230" i="1"/>
  <c r="AX230" i="1"/>
  <c r="BS229" i="1"/>
  <c r="BR229" i="1"/>
  <c r="BQ229" i="1"/>
  <c r="BP229" i="1"/>
  <c r="BO229" i="1"/>
  <c r="BN229" i="1"/>
  <c r="BM229" i="1"/>
  <c r="BL229" i="1"/>
  <c r="BK229" i="1"/>
  <c r="BJ229" i="1"/>
  <c r="BG229" i="1"/>
  <c r="BF229" i="1"/>
  <c r="BE229" i="1"/>
  <c r="BD229" i="1"/>
  <c r="BC229" i="1"/>
  <c r="BB229" i="1"/>
  <c r="BA229" i="1"/>
  <c r="AZ229" i="1"/>
  <c r="AY229" i="1"/>
  <c r="AX229" i="1"/>
  <c r="BS228" i="1"/>
  <c r="BR228" i="1"/>
  <c r="BQ228" i="1"/>
  <c r="BP228" i="1"/>
  <c r="BO228" i="1"/>
  <c r="BN228" i="1"/>
  <c r="BM228" i="1"/>
  <c r="BL228" i="1"/>
  <c r="BK228" i="1"/>
  <c r="BJ228" i="1"/>
  <c r="BG228" i="1"/>
  <c r="BF228" i="1"/>
  <c r="BE228" i="1"/>
  <c r="BD228" i="1"/>
  <c r="BC228" i="1"/>
  <c r="BB228" i="1"/>
  <c r="BA228" i="1"/>
  <c r="AZ228" i="1"/>
  <c r="AY228" i="1"/>
  <c r="AX228" i="1"/>
  <c r="BS227" i="1"/>
  <c r="BR227" i="1"/>
  <c r="BQ227" i="1"/>
  <c r="BP227" i="1"/>
  <c r="BO227" i="1"/>
  <c r="BN227" i="1"/>
  <c r="BM227" i="1"/>
  <c r="BL227" i="1"/>
  <c r="BK227" i="1"/>
  <c r="BJ227" i="1"/>
  <c r="BG227" i="1"/>
  <c r="BF227" i="1"/>
  <c r="BE227" i="1"/>
  <c r="BD227" i="1"/>
  <c r="BC227" i="1"/>
  <c r="BB227" i="1"/>
  <c r="BA227" i="1"/>
  <c r="AZ227" i="1"/>
  <c r="AY227" i="1"/>
  <c r="AX227" i="1"/>
  <c r="BS226" i="1"/>
  <c r="BR226" i="1"/>
  <c r="BQ226" i="1"/>
  <c r="BP226" i="1"/>
  <c r="BO226" i="1"/>
  <c r="BN226" i="1"/>
  <c r="BM226" i="1"/>
  <c r="BL226" i="1"/>
  <c r="BK226" i="1"/>
  <c r="BJ226" i="1"/>
  <c r="BG226" i="1"/>
  <c r="BF226" i="1"/>
  <c r="BE226" i="1"/>
  <c r="BD226" i="1"/>
  <c r="BC226" i="1"/>
  <c r="BB226" i="1"/>
  <c r="BA226" i="1"/>
  <c r="AZ226" i="1"/>
  <c r="AY226" i="1"/>
  <c r="AX226" i="1"/>
  <c r="BS225" i="1"/>
  <c r="BR225" i="1"/>
  <c r="BQ225" i="1"/>
  <c r="BP225" i="1"/>
  <c r="BO225" i="1"/>
  <c r="BN225" i="1"/>
  <c r="BM225" i="1"/>
  <c r="BL225" i="1"/>
  <c r="BK225" i="1"/>
  <c r="BJ225" i="1"/>
  <c r="BG225" i="1"/>
  <c r="BF225" i="1"/>
  <c r="BE225" i="1"/>
  <c r="BD225" i="1"/>
  <c r="BC225" i="1"/>
  <c r="BB225" i="1"/>
  <c r="BA225" i="1"/>
  <c r="AZ225" i="1"/>
  <c r="AY225" i="1"/>
  <c r="AX225" i="1"/>
  <c r="BS224" i="1"/>
  <c r="BR224" i="1"/>
  <c r="BQ224" i="1"/>
  <c r="BP224" i="1"/>
  <c r="BO224" i="1"/>
  <c r="BN224" i="1"/>
  <c r="BM224" i="1"/>
  <c r="BL224" i="1"/>
  <c r="BK224" i="1"/>
  <c r="BJ224" i="1"/>
  <c r="BG224" i="1"/>
  <c r="BF224" i="1"/>
  <c r="BE224" i="1"/>
  <c r="BD224" i="1"/>
  <c r="BC224" i="1"/>
  <c r="BB224" i="1"/>
  <c r="BA224" i="1"/>
  <c r="AZ224" i="1"/>
  <c r="AY224" i="1"/>
  <c r="AX224" i="1"/>
  <c r="BS223" i="1"/>
  <c r="BR223" i="1"/>
  <c r="BQ223" i="1"/>
  <c r="BP223" i="1"/>
  <c r="BO223" i="1"/>
  <c r="BN223" i="1"/>
  <c r="BM223" i="1"/>
  <c r="BL223" i="1"/>
  <c r="BK223" i="1"/>
  <c r="BJ223" i="1"/>
  <c r="BG223" i="1"/>
  <c r="BF223" i="1"/>
  <c r="BE223" i="1"/>
  <c r="BD223" i="1"/>
  <c r="BC223" i="1"/>
  <c r="BB223" i="1"/>
  <c r="BA223" i="1"/>
  <c r="AZ223" i="1"/>
  <c r="AY223" i="1"/>
  <c r="AX223" i="1"/>
  <c r="BS222" i="1"/>
  <c r="BR222" i="1"/>
  <c r="BQ222" i="1"/>
  <c r="BP222" i="1"/>
  <c r="BO222" i="1"/>
  <c r="BN222" i="1"/>
  <c r="BM222" i="1"/>
  <c r="BL222" i="1"/>
  <c r="BK222" i="1"/>
  <c r="BJ222" i="1"/>
  <c r="BG222" i="1"/>
  <c r="BF222" i="1"/>
  <c r="BE222" i="1"/>
  <c r="BD222" i="1"/>
  <c r="BC222" i="1"/>
  <c r="BB222" i="1"/>
  <c r="BA222" i="1"/>
  <c r="AZ222" i="1"/>
  <c r="AY222" i="1"/>
  <c r="AX222" i="1"/>
  <c r="BS221" i="1"/>
  <c r="BR221" i="1"/>
  <c r="BQ221" i="1"/>
  <c r="BP221" i="1"/>
  <c r="BO221" i="1"/>
  <c r="BN221" i="1"/>
  <c r="BM221" i="1"/>
  <c r="BL221" i="1"/>
  <c r="BK221" i="1"/>
  <c r="BJ221" i="1"/>
  <c r="BG221" i="1"/>
  <c r="BF221" i="1"/>
  <c r="BE221" i="1"/>
  <c r="BD221" i="1"/>
  <c r="BC221" i="1"/>
  <c r="BB221" i="1"/>
  <c r="BA221" i="1"/>
  <c r="AZ221" i="1"/>
  <c r="AY221" i="1"/>
  <c r="AX221" i="1"/>
  <c r="BS220" i="1"/>
  <c r="BR220" i="1"/>
  <c r="BQ220" i="1"/>
  <c r="BP220" i="1"/>
  <c r="BO220" i="1"/>
  <c r="BN220" i="1"/>
  <c r="BM220" i="1"/>
  <c r="BL220" i="1"/>
  <c r="BK220" i="1"/>
  <c r="BJ220" i="1"/>
  <c r="BG220" i="1"/>
  <c r="BF220" i="1"/>
  <c r="BE220" i="1"/>
  <c r="BD220" i="1"/>
  <c r="BC220" i="1"/>
  <c r="BB220" i="1"/>
  <c r="BA220" i="1"/>
  <c r="AZ220" i="1"/>
  <c r="AY220" i="1"/>
  <c r="AX220" i="1"/>
  <c r="BS219" i="1"/>
  <c r="BR219" i="1"/>
  <c r="BQ219" i="1"/>
  <c r="BP219" i="1"/>
  <c r="BO219" i="1"/>
  <c r="BN219" i="1"/>
  <c r="BM219" i="1"/>
  <c r="BL219" i="1"/>
  <c r="BK219" i="1"/>
  <c r="BJ219" i="1"/>
  <c r="BG219" i="1"/>
  <c r="BF219" i="1"/>
  <c r="BE219" i="1"/>
  <c r="BD219" i="1"/>
  <c r="BC219" i="1"/>
  <c r="BB219" i="1"/>
  <c r="BA219" i="1"/>
  <c r="AZ219" i="1"/>
  <c r="AY219" i="1"/>
  <c r="AX219" i="1"/>
  <c r="BS218" i="1"/>
  <c r="BR218" i="1"/>
  <c r="BQ218" i="1"/>
  <c r="BP218" i="1"/>
  <c r="BO218" i="1"/>
  <c r="BN218" i="1"/>
  <c r="BM218" i="1"/>
  <c r="BL218" i="1"/>
  <c r="BK218" i="1"/>
  <c r="BJ218" i="1"/>
  <c r="BG218" i="1"/>
  <c r="BF218" i="1"/>
  <c r="BE218" i="1"/>
  <c r="BD218" i="1"/>
  <c r="BC218" i="1"/>
  <c r="BB218" i="1"/>
  <c r="BA218" i="1"/>
  <c r="AZ218" i="1"/>
  <c r="AY218" i="1"/>
  <c r="AX218" i="1"/>
  <c r="BS217" i="1"/>
  <c r="BR217" i="1"/>
  <c r="BQ217" i="1"/>
  <c r="BP217" i="1"/>
  <c r="BO217" i="1"/>
  <c r="BN217" i="1"/>
  <c r="BM217" i="1"/>
  <c r="BL217" i="1"/>
  <c r="BK217" i="1"/>
  <c r="BJ217" i="1"/>
  <c r="BG217" i="1"/>
  <c r="BF217" i="1"/>
  <c r="BE217" i="1"/>
  <c r="BD217" i="1"/>
  <c r="BC217" i="1"/>
  <c r="BB217" i="1"/>
  <c r="BA217" i="1"/>
  <c r="AZ217" i="1"/>
  <c r="AY217" i="1"/>
  <c r="AX217" i="1"/>
  <c r="BS216" i="1"/>
  <c r="BR216" i="1"/>
  <c r="BQ216" i="1"/>
  <c r="BP216" i="1"/>
  <c r="BO216" i="1"/>
  <c r="BN216" i="1"/>
  <c r="BM216" i="1"/>
  <c r="BL216" i="1"/>
  <c r="BK216" i="1"/>
  <c r="BJ216" i="1"/>
  <c r="BG216" i="1"/>
  <c r="BF216" i="1"/>
  <c r="BE216" i="1"/>
  <c r="BD216" i="1"/>
  <c r="BC216" i="1"/>
  <c r="BB216" i="1"/>
  <c r="BA216" i="1"/>
  <c r="AZ216" i="1"/>
  <c r="AY216" i="1"/>
  <c r="AX216" i="1"/>
  <c r="BS215" i="1"/>
  <c r="BR215" i="1"/>
  <c r="BQ215" i="1"/>
  <c r="BP215" i="1"/>
  <c r="BO215" i="1"/>
  <c r="BN215" i="1"/>
  <c r="BM215" i="1"/>
  <c r="BL215" i="1"/>
  <c r="BK215" i="1"/>
  <c r="BJ215" i="1"/>
  <c r="BG215" i="1"/>
  <c r="BF215" i="1"/>
  <c r="BE215" i="1"/>
  <c r="BD215" i="1"/>
  <c r="BC215" i="1"/>
  <c r="BB215" i="1"/>
  <c r="BA215" i="1"/>
  <c r="AZ215" i="1"/>
  <c r="AY215" i="1"/>
  <c r="AX215" i="1"/>
  <c r="BS214" i="1"/>
  <c r="BR214" i="1"/>
  <c r="BQ214" i="1"/>
  <c r="BP214" i="1"/>
  <c r="BO214" i="1"/>
  <c r="BN214" i="1"/>
  <c r="BM214" i="1"/>
  <c r="BL214" i="1"/>
  <c r="BK214" i="1"/>
  <c r="BJ214" i="1"/>
  <c r="BG214" i="1"/>
  <c r="BF214" i="1"/>
  <c r="BE214" i="1"/>
  <c r="BD214" i="1"/>
  <c r="BC214" i="1"/>
  <c r="BB214" i="1"/>
  <c r="BA214" i="1"/>
  <c r="AZ214" i="1"/>
  <c r="AY214" i="1"/>
  <c r="AX214" i="1"/>
  <c r="BS213" i="1"/>
  <c r="BR213" i="1"/>
  <c r="BQ213" i="1"/>
  <c r="BP213" i="1"/>
  <c r="BO213" i="1"/>
  <c r="BN213" i="1"/>
  <c r="BM213" i="1"/>
  <c r="BL213" i="1"/>
  <c r="BK213" i="1"/>
  <c r="BJ213" i="1"/>
  <c r="BG213" i="1"/>
  <c r="BF213" i="1"/>
  <c r="BE213" i="1"/>
  <c r="BD213" i="1"/>
  <c r="BC213" i="1"/>
  <c r="BB213" i="1"/>
  <c r="BA213" i="1"/>
  <c r="AZ213" i="1"/>
  <c r="AY213" i="1"/>
  <c r="AX213" i="1"/>
  <c r="BS212" i="1"/>
  <c r="BR212" i="1"/>
  <c r="BQ212" i="1"/>
  <c r="BP212" i="1"/>
  <c r="BO212" i="1"/>
  <c r="BN212" i="1"/>
  <c r="BM212" i="1"/>
  <c r="BL212" i="1"/>
  <c r="BK212" i="1"/>
  <c r="BJ212" i="1"/>
  <c r="BG212" i="1"/>
  <c r="BF212" i="1"/>
  <c r="BE212" i="1"/>
  <c r="BD212" i="1"/>
  <c r="BC212" i="1"/>
  <c r="BB212" i="1"/>
  <c r="BA212" i="1"/>
  <c r="AZ212" i="1"/>
  <c r="AY212" i="1"/>
  <c r="AX212" i="1"/>
  <c r="BS211" i="1"/>
  <c r="BR211" i="1"/>
  <c r="BQ211" i="1"/>
  <c r="BP211" i="1"/>
  <c r="BO211" i="1"/>
  <c r="BN211" i="1"/>
  <c r="BM211" i="1"/>
  <c r="BL211" i="1"/>
  <c r="BK211" i="1"/>
  <c r="BJ211" i="1"/>
  <c r="BG211" i="1"/>
  <c r="BF211" i="1"/>
  <c r="BE211" i="1"/>
  <c r="BD211" i="1"/>
  <c r="BC211" i="1"/>
  <c r="BB211" i="1"/>
  <c r="BA211" i="1"/>
  <c r="AZ211" i="1"/>
  <c r="AY211" i="1"/>
  <c r="AX211" i="1"/>
  <c r="BS210" i="1"/>
  <c r="BR210" i="1"/>
  <c r="BQ210" i="1"/>
  <c r="BP210" i="1"/>
  <c r="BO210" i="1"/>
  <c r="BN210" i="1"/>
  <c r="BM210" i="1"/>
  <c r="BL210" i="1"/>
  <c r="BK210" i="1"/>
  <c r="BJ210" i="1"/>
  <c r="BG210" i="1"/>
  <c r="BF210" i="1"/>
  <c r="BE210" i="1"/>
  <c r="BD210" i="1"/>
  <c r="BC210" i="1"/>
  <c r="BB210" i="1"/>
  <c r="BA210" i="1"/>
  <c r="AZ210" i="1"/>
  <c r="AY210" i="1"/>
  <c r="AX210" i="1"/>
  <c r="BS209" i="1"/>
  <c r="BR209" i="1"/>
  <c r="BQ209" i="1"/>
  <c r="BP209" i="1"/>
  <c r="BO209" i="1"/>
  <c r="BN209" i="1"/>
  <c r="BM209" i="1"/>
  <c r="BL209" i="1"/>
  <c r="BK209" i="1"/>
  <c r="BJ209" i="1"/>
  <c r="BG209" i="1"/>
  <c r="BF209" i="1"/>
  <c r="BE209" i="1"/>
  <c r="BD209" i="1"/>
  <c r="BC209" i="1"/>
  <c r="BB209" i="1"/>
  <c r="BA209" i="1"/>
  <c r="AZ209" i="1"/>
  <c r="AY209" i="1"/>
  <c r="AX209" i="1"/>
  <c r="BS208" i="1"/>
  <c r="BR208" i="1"/>
  <c r="BQ208" i="1"/>
  <c r="BP208" i="1"/>
  <c r="BO208" i="1"/>
  <c r="BN208" i="1"/>
  <c r="BM208" i="1"/>
  <c r="BL208" i="1"/>
  <c r="BK208" i="1"/>
  <c r="BJ208" i="1"/>
  <c r="BG208" i="1"/>
  <c r="BF208" i="1"/>
  <c r="BE208" i="1"/>
  <c r="BD208" i="1"/>
  <c r="BC208" i="1"/>
  <c r="BB208" i="1"/>
  <c r="BA208" i="1"/>
  <c r="AZ208" i="1"/>
  <c r="AY208" i="1"/>
  <c r="AX208" i="1"/>
  <c r="BS207" i="1"/>
  <c r="BR207" i="1"/>
  <c r="BQ207" i="1"/>
  <c r="BP207" i="1"/>
  <c r="BO207" i="1"/>
  <c r="BN207" i="1"/>
  <c r="BM207" i="1"/>
  <c r="BL207" i="1"/>
  <c r="BK207" i="1"/>
  <c r="BJ207" i="1"/>
  <c r="BG207" i="1"/>
  <c r="BF207" i="1"/>
  <c r="BE207" i="1"/>
  <c r="BD207" i="1"/>
  <c r="BC207" i="1"/>
  <c r="BB207" i="1"/>
  <c r="BA207" i="1"/>
  <c r="AZ207" i="1"/>
  <c r="AY207" i="1"/>
  <c r="AX207" i="1"/>
  <c r="BS206" i="1"/>
  <c r="BR206" i="1"/>
  <c r="BQ206" i="1"/>
  <c r="BP206" i="1"/>
  <c r="BO206" i="1"/>
  <c r="BN206" i="1"/>
  <c r="BM206" i="1"/>
  <c r="BL206" i="1"/>
  <c r="BK206" i="1"/>
  <c r="BJ206" i="1"/>
  <c r="BG206" i="1"/>
  <c r="BF206" i="1"/>
  <c r="BE206" i="1"/>
  <c r="BD206" i="1"/>
  <c r="BC206" i="1"/>
  <c r="BB206" i="1"/>
  <c r="BA206" i="1"/>
  <c r="AZ206" i="1"/>
  <c r="AY206" i="1"/>
  <c r="AX206" i="1"/>
  <c r="BS205" i="1"/>
  <c r="BR205" i="1"/>
  <c r="BQ205" i="1"/>
  <c r="BP205" i="1"/>
  <c r="BO205" i="1"/>
  <c r="BN205" i="1"/>
  <c r="BM205" i="1"/>
  <c r="BL205" i="1"/>
  <c r="BK205" i="1"/>
  <c r="BJ205" i="1"/>
  <c r="BG205" i="1"/>
  <c r="BF205" i="1"/>
  <c r="BE205" i="1"/>
  <c r="BD205" i="1"/>
  <c r="BC205" i="1"/>
  <c r="BB205" i="1"/>
  <c r="BA205" i="1"/>
  <c r="AZ205" i="1"/>
  <c r="AY205" i="1"/>
  <c r="AX205" i="1"/>
  <c r="BS204" i="1"/>
  <c r="BR204" i="1"/>
  <c r="BQ204" i="1"/>
  <c r="BP204" i="1"/>
  <c r="BO204" i="1"/>
  <c r="BN204" i="1"/>
  <c r="BM204" i="1"/>
  <c r="BL204" i="1"/>
  <c r="BK204" i="1"/>
  <c r="BJ204" i="1"/>
  <c r="BG204" i="1"/>
  <c r="BF204" i="1"/>
  <c r="BE204" i="1"/>
  <c r="BD204" i="1"/>
  <c r="BC204" i="1"/>
  <c r="BB204" i="1"/>
  <c r="BA204" i="1"/>
  <c r="AZ204" i="1"/>
  <c r="AY204" i="1"/>
  <c r="AX204" i="1"/>
  <c r="BS203" i="1"/>
  <c r="BR203" i="1"/>
  <c r="BQ203" i="1"/>
  <c r="BP203" i="1"/>
  <c r="BO203" i="1"/>
  <c r="BN203" i="1"/>
  <c r="BM203" i="1"/>
  <c r="BL203" i="1"/>
  <c r="BK203" i="1"/>
  <c r="BJ203" i="1"/>
  <c r="BG203" i="1"/>
  <c r="BF203" i="1"/>
  <c r="BE203" i="1"/>
  <c r="BD203" i="1"/>
  <c r="BC203" i="1"/>
  <c r="BB203" i="1"/>
  <c r="BA203" i="1"/>
  <c r="AZ203" i="1"/>
  <c r="AY203" i="1"/>
  <c r="AX203" i="1"/>
  <c r="BS202" i="1"/>
  <c r="BR202" i="1"/>
  <c r="BQ202" i="1"/>
  <c r="BP202" i="1"/>
  <c r="BO202" i="1"/>
  <c r="BN202" i="1"/>
  <c r="BM202" i="1"/>
  <c r="BL202" i="1"/>
  <c r="BK202" i="1"/>
  <c r="BJ202" i="1"/>
  <c r="BG202" i="1"/>
  <c r="BF202" i="1"/>
  <c r="BE202" i="1"/>
  <c r="BD202" i="1"/>
  <c r="BC202" i="1"/>
  <c r="BB202" i="1"/>
  <c r="BA202" i="1"/>
  <c r="AZ202" i="1"/>
  <c r="AY202" i="1"/>
  <c r="AX202" i="1"/>
  <c r="BS201" i="1"/>
  <c r="BR201" i="1"/>
  <c r="BQ201" i="1"/>
  <c r="BP201" i="1"/>
  <c r="BO201" i="1"/>
  <c r="BN201" i="1"/>
  <c r="BM201" i="1"/>
  <c r="BL201" i="1"/>
  <c r="BK201" i="1"/>
  <c r="BJ201" i="1"/>
  <c r="BG201" i="1"/>
  <c r="BF201" i="1"/>
  <c r="BE201" i="1"/>
  <c r="BD201" i="1"/>
  <c r="BC201" i="1"/>
  <c r="BB201" i="1"/>
  <c r="BA201" i="1"/>
  <c r="AZ201" i="1"/>
  <c r="AY201" i="1"/>
  <c r="AX201" i="1"/>
  <c r="BS200" i="1"/>
  <c r="BR200" i="1"/>
  <c r="BQ200" i="1"/>
  <c r="BP200" i="1"/>
  <c r="BO200" i="1"/>
  <c r="BN200" i="1"/>
  <c r="BM200" i="1"/>
  <c r="BL200" i="1"/>
  <c r="BK200" i="1"/>
  <c r="BJ200" i="1"/>
  <c r="BG200" i="1"/>
  <c r="BF200" i="1"/>
  <c r="BE200" i="1"/>
  <c r="BD200" i="1"/>
  <c r="BC200" i="1"/>
  <c r="BB200" i="1"/>
  <c r="BA200" i="1"/>
  <c r="AZ200" i="1"/>
  <c r="AY200" i="1"/>
  <c r="AX200" i="1"/>
  <c r="BS199" i="1"/>
  <c r="BR199" i="1"/>
  <c r="BQ199" i="1"/>
  <c r="BP199" i="1"/>
  <c r="BO199" i="1"/>
  <c r="BN199" i="1"/>
  <c r="BM199" i="1"/>
  <c r="BL199" i="1"/>
  <c r="BK199" i="1"/>
  <c r="BJ199" i="1"/>
  <c r="BG199" i="1"/>
  <c r="BF199" i="1"/>
  <c r="BE199" i="1"/>
  <c r="BD199" i="1"/>
  <c r="BC199" i="1"/>
  <c r="BB199" i="1"/>
  <c r="BA199" i="1"/>
  <c r="AZ199" i="1"/>
  <c r="AY199" i="1"/>
  <c r="AX199" i="1"/>
  <c r="BS198" i="1"/>
  <c r="BR198" i="1"/>
  <c r="BQ198" i="1"/>
  <c r="BP198" i="1"/>
  <c r="BO198" i="1"/>
  <c r="BN198" i="1"/>
  <c r="BM198" i="1"/>
  <c r="BL198" i="1"/>
  <c r="BK198" i="1"/>
  <c r="BJ198" i="1"/>
  <c r="BG198" i="1"/>
  <c r="BF198" i="1"/>
  <c r="BE198" i="1"/>
  <c r="BD198" i="1"/>
  <c r="BC198" i="1"/>
  <c r="BB198" i="1"/>
  <c r="BA198" i="1"/>
  <c r="AZ198" i="1"/>
  <c r="AY198" i="1"/>
  <c r="AX198" i="1"/>
  <c r="BS197" i="1"/>
  <c r="BR197" i="1"/>
  <c r="BQ197" i="1"/>
  <c r="BP197" i="1"/>
  <c r="BO197" i="1"/>
  <c r="BN197" i="1"/>
  <c r="BM197" i="1"/>
  <c r="BL197" i="1"/>
  <c r="BK197" i="1"/>
  <c r="BJ197" i="1"/>
  <c r="BG197" i="1"/>
  <c r="BF197" i="1"/>
  <c r="BE197" i="1"/>
  <c r="BD197" i="1"/>
  <c r="BC197" i="1"/>
  <c r="BB197" i="1"/>
  <c r="BA197" i="1"/>
  <c r="AZ197" i="1"/>
  <c r="AY197" i="1"/>
  <c r="AX197" i="1"/>
  <c r="BS196" i="1"/>
  <c r="BR196" i="1"/>
  <c r="BQ196" i="1"/>
  <c r="BP196" i="1"/>
  <c r="BO196" i="1"/>
  <c r="BN196" i="1"/>
  <c r="BM196" i="1"/>
  <c r="BL196" i="1"/>
  <c r="BK196" i="1"/>
  <c r="BJ196" i="1"/>
  <c r="BG196" i="1"/>
  <c r="BF196" i="1"/>
  <c r="BE196" i="1"/>
  <c r="BD196" i="1"/>
  <c r="BC196" i="1"/>
  <c r="BB196" i="1"/>
  <c r="BA196" i="1"/>
  <c r="AZ196" i="1"/>
  <c r="AY196" i="1"/>
  <c r="AX196" i="1"/>
  <c r="BS195" i="1"/>
  <c r="BR195" i="1"/>
  <c r="BQ195" i="1"/>
  <c r="BP195" i="1"/>
  <c r="BO195" i="1"/>
  <c r="BN195" i="1"/>
  <c r="BM195" i="1"/>
  <c r="BL195" i="1"/>
  <c r="BK195" i="1"/>
  <c r="BJ195" i="1"/>
  <c r="BG195" i="1"/>
  <c r="BF195" i="1"/>
  <c r="BE195" i="1"/>
  <c r="BD195" i="1"/>
  <c r="BC195" i="1"/>
  <c r="BB195" i="1"/>
  <c r="BA195" i="1"/>
  <c r="AZ195" i="1"/>
  <c r="AY195" i="1"/>
  <c r="AX195" i="1"/>
  <c r="BS194" i="1"/>
  <c r="BR194" i="1"/>
  <c r="BQ194" i="1"/>
  <c r="BP194" i="1"/>
  <c r="BO194" i="1"/>
  <c r="BN194" i="1"/>
  <c r="BM194" i="1"/>
  <c r="BL194" i="1"/>
  <c r="BK194" i="1"/>
  <c r="BJ194" i="1"/>
  <c r="BG194" i="1"/>
  <c r="BF194" i="1"/>
  <c r="BE194" i="1"/>
  <c r="BD194" i="1"/>
  <c r="BC194" i="1"/>
  <c r="BB194" i="1"/>
  <c r="BA194" i="1"/>
  <c r="AZ194" i="1"/>
  <c r="AY194" i="1"/>
  <c r="AX194" i="1"/>
  <c r="BS193" i="1"/>
  <c r="BR193" i="1"/>
  <c r="BQ193" i="1"/>
  <c r="BP193" i="1"/>
  <c r="BO193" i="1"/>
  <c r="BN193" i="1"/>
  <c r="BM193" i="1"/>
  <c r="BL193" i="1"/>
  <c r="BK193" i="1"/>
  <c r="BJ193" i="1"/>
  <c r="BG193" i="1"/>
  <c r="BF193" i="1"/>
  <c r="BE193" i="1"/>
  <c r="BD193" i="1"/>
  <c r="BC193" i="1"/>
  <c r="BB193" i="1"/>
  <c r="BA193" i="1"/>
  <c r="AZ193" i="1"/>
  <c r="AY193" i="1"/>
  <c r="AX193" i="1"/>
  <c r="BS192" i="1"/>
  <c r="BR192" i="1"/>
  <c r="BQ192" i="1"/>
  <c r="BP192" i="1"/>
  <c r="BO192" i="1"/>
  <c r="BN192" i="1"/>
  <c r="BM192" i="1"/>
  <c r="BL192" i="1"/>
  <c r="BK192" i="1"/>
  <c r="BJ192" i="1"/>
  <c r="BG192" i="1"/>
  <c r="BF192" i="1"/>
  <c r="BE192" i="1"/>
  <c r="BD192" i="1"/>
  <c r="BC192" i="1"/>
  <c r="BB192" i="1"/>
  <c r="BA192" i="1"/>
  <c r="AZ192" i="1"/>
  <c r="AY192" i="1"/>
  <c r="AX192" i="1"/>
  <c r="BS191" i="1"/>
  <c r="BR191" i="1"/>
  <c r="BQ191" i="1"/>
  <c r="BP191" i="1"/>
  <c r="BO191" i="1"/>
  <c r="BN191" i="1"/>
  <c r="BM191" i="1"/>
  <c r="BL191" i="1"/>
  <c r="BK191" i="1"/>
  <c r="BJ191" i="1"/>
  <c r="BG191" i="1"/>
  <c r="BF191" i="1"/>
  <c r="BE191" i="1"/>
  <c r="BD191" i="1"/>
  <c r="BC191" i="1"/>
  <c r="BB191" i="1"/>
  <c r="BA191" i="1"/>
  <c r="AZ191" i="1"/>
  <c r="AY191" i="1"/>
  <c r="AX191" i="1"/>
  <c r="BS190" i="1"/>
  <c r="BR190" i="1"/>
  <c r="BQ190" i="1"/>
  <c r="BP190" i="1"/>
  <c r="BO190" i="1"/>
  <c r="BN190" i="1"/>
  <c r="BM190" i="1"/>
  <c r="BL190" i="1"/>
  <c r="BK190" i="1"/>
  <c r="BJ190" i="1"/>
  <c r="BG190" i="1"/>
  <c r="BF190" i="1"/>
  <c r="BE190" i="1"/>
  <c r="BD190" i="1"/>
  <c r="BC190" i="1"/>
  <c r="BB190" i="1"/>
  <c r="BA190" i="1"/>
  <c r="AZ190" i="1"/>
  <c r="AY190" i="1"/>
  <c r="AX190" i="1"/>
  <c r="BS189" i="1"/>
  <c r="BR189" i="1"/>
  <c r="BQ189" i="1"/>
  <c r="BP189" i="1"/>
  <c r="BO189" i="1"/>
  <c r="BN189" i="1"/>
  <c r="BM189" i="1"/>
  <c r="BL189" i="1"/>
  <c r="BK189" i="1"/>
  <c r="BJ189" i="1"/>
  <c r="BG189" i="1"/>
  <c r="BF189" i="1"/>
  <c r="BE189" i="1"/>
  <c r="BD189" i="1"/>
  <c r="BC189" i="1"/>
  <c r="BB189" i="1"/>
  <c r="BA189" i="1"/>
  <c r="AZ189" i="1"/>
  <c r="AY189" i="1"/>
  <c r="AX189" i="1"/>
  <c r="BS188" i="1"/>
  <c r="BR188" i="1"/>
  <c r="BQ188" i="1"/>
  <c r="BP188" i="1"/>
  <c r="BO188" i="1"/>
  <c r="BN188" i="1"/>
  <c r="BM188" i="1"/>
  <c r="BL188" i="1"/>
  <c r="BK188" i="1"/>
  <c r="BJ188" i="1"/>
  <c r="BG188" i="1"/>
  <c r="BF188" i="1"/>
  <c r="BE188" i="1"/>
  <c r="BD188" i="1"/>
  <c r="BC188" i="1"/>
  <c r="BB188" i="1"/>
  <c r="BA188" i="1"/>
  <c r="AZ188" i="1"/>
  <c r="AY188" i="1"/>
  <c r="AX188" i="1"/>
  <c r="BS187" i="1"/>
  <c r="BR187" i="1"/>
  <c r="BQ187" i="1"/>
  <c r="BP187" i="1"/>
  <c r="BO187" i="1"/>
  <c r="BN187" i="1"/>
  <c r="BM187" i="1"/>
  <c r="BL187" i="1"/>
  <c r="BK187" i="1"/>
  <c r="BJ187" i="1"/>
  <c r="BG187" i="1"/>
  <c r="BF187" i="1"/>
  <c r="BE187" i="1"/>
  <c r="BD187" i="1"/>
  <c r="BC187" i="1"/>
  <c r="BB187" i="1"/>
  <c r="BA187" i="1"/>
  <c r="AZ187" i="1"/>
  <c r="AY187" i="1"/>
  <c r="AX187" i="1"/>
  <c r="BS186" i="1"/>
  <c r="BR186" i="1"/>
  <c r="BQ186" i="1"/>
  <c r="BP186" i="1"/>
  <c r="BO186" i="1"/>
  <c r="BN186" i="1"/>
  <c r="BM186" i="1"/>
  <c r="BL186" i="1"/>
  <c r="BK186" i="1"/>
  <c r="BJ186" i="1"/>
  <c r="BG186" i="1"/>
  <c r="BF186" i="1"/>
  <c r="BE186" i="1"/>
  <c r="BD186" i="1"/>
  <c r="BC186" i="1"/>
  <c r="BB186" i="1"/>
  <c r="BA186" i="1"/>
  <c r="AZ186" i="1"/>
  <c r="AY186" i="1"/>
  <c r="AX186" i="1"/>
  <c r="BS185" i="1"/>
  <c r="BR185" i="1"/>
  <c r="BQ185" i="1"/>
  <c r="BP185" i="1"/>
  <c r="BO185" i="1"/>
  <c r="BN185" i="1"/>
  <c r="BM185" i="1"/>
  <c r="BL185" i="1"/>
  <c r="BK185" i="1"/>
  <c r="BJ185" i="1"/>
  <c r="BG185" i="1"/>
  <c r="BF185" i="1"/>
  <c r="BE185" i="1"/>
  <c r="BD185" i="1"/>
  <c r="BC185" i="1"/>
  <c r="BB185" i="1"/>
  <c r="BA185" i="1"/>
  <c r="AZ185" i="1"/>
  <c r="AY185" i="1"/>
  <c r="AX185" i="1"/>
  <c r="BS184" i="1"/>
  <c r="BR184" i="1"/>
  <c r="BQ184" i="1"/>
  <c r="BP184" i="1"/>
  <c r="BO184" i="1"/>
  <c r="BN184" i="1"/>
  <c r="BM184" i="1"/>
  <c r="BL184" i="1"/>
  <c r="BK184" i="1"/>
  <c r="BJ184" i="1"/>
  <c r="BG184" i="1"/>
  <c r="BF184" i="1"/>
  <c r="BE184" i="1"/>
  <c r="BD184" i="1"/>
  <c r="BC184" i="1"/>
  <c r="BB184" i="1"/>
  <c r="BA184" i="1"/>
  <c r="AZ184" i="1"/>
  <c r="AY184" i="1"/>
  <c r="AX184" i="1"/>
  <c r="BS183" i="1"/>
  <c r="BR183" i="1"/>
  <c r="BQ183" i="1"/>
  <c r="BP183" i="1"/>
  <c r="BO183" i="1"/>
  <c r="BN183" i="1"/>
  <c r="BM183" i="1"/>
  <c r="BL183" i="1"/>
  <c r="BK183" i="1"/>
  <c r="BJ183" i="1"/>
  <c r="BG183" i="1"/>
  <c r="BF183" i="1"/>
  <c r="BE183" i="1"/>
  <c r="BD183" i="1"/>
  <c r="BC183" i="1"/>
  <c r="BB183" i="1"/>
  <c r="BA183" i="1"/>
  <c r="AZ183" i="1"/>
  <c r="AY183" i="1"/>
  <c r="AX183" i="1"/>
  <c r="BS182" i="1"/>
  <c r="BR182" i="1"/>
  <c r="BQ182" i="1"/>
  <c r="BP182" i="1"/>
  <c r="BO182" i="1"/>
  <c r="BN182" i="1"/>
  <c r="BM182" i="1"/>
  <c r="BL182" i="1"/>
  <c r="BK182" i="1"/>
  <c r="BJ182" i="1"/>
  <c r="BG182" i="1"/>
  <c r="BF182" i="1"/>
  <c r="BE182" i="1"/>
  <c r="BD182" i="1"/>
  <c r="BC182" i="1"/>
  <c r="BB182" i="1"/>
  <c r="BA182" i="1"/>
  <c r="AZ182" i="1"/>
  <c r="AY182" i="1"/>
  <c r="AX182" i="1"/>
  <c r="BS181" i="1"/>
  <c r="BR181" i="1"/>
  <c r="BQ181" i="1"/>
  <c r="BP181" i="1"/>
  <c r="BO181" i="1"/>
  <c r="BN181" i="1"/>
  <c r="BM181" i="1"/>
  <c r="BL181" i="1"/>
  <c r="BK181" i="1"/>
  <c r="BJ181" i="1"/>
  <c r="BG181" i="1"/>
  <c r="BF181" i="1"/>
  <c r="BE181" i="1"/>
  <c r="BD181" i="1"/>
  <c r="BC181" i="1"/>
  <c r="BB181" i="1"/>
  <c r="BA181" i="1"/>
  <c r="AZ181" i="1"/>
  <c r="AY181" i="1"/>
  <c r="AX181" i="1"/>
  <c r="BS180" i="1"/>
  <c r="BR180" i="1"/>
  <c r="BQ180" i="1"/>
  <c r="BP180" i="1"/>
  <c r="BO180" i="1"/>
  <c r="BN180" i="1"/>
  <c r="BM180" i="1"/>
  <c r="BL180" i="1"/>
  <c r="BK180" i="1"/>
  <c r="BJ180" i="1"/>
  <c r="BG180" i="1"/>
  <c r="BF180" i="1"/>
  <c r="BE180" i="1"/>
  <c r="BD180" i="1"/>
  <c r="BC180" i="1"/>
  <c r="BB180" i="1"/>
  <c r="BA180" i="1"/>
  <c r="AZ180" i="1"/>
  <c r="AY180" i="1"/>
  <c r="AX180" i="1"/>
  <c r="BS179" i="1"/>
  <c r="BR179" i="1"/>
  <c r="BQ179" i="1"/>
  <c r="BP179" i="1"/>
  <c r="BO179" i="1"/>
  <c r="BN179" i="1"/>
  <c r="BM179" i="1"/>
  <c r="BL179" i="1"/>
  <c r="BK179" i="1"/>
  <c r="BJ179" i="1"/>
  <c r="BG179" i="1"/>
  <c r="BF179" i="1"/>
  <c r="BE179" i="1"/>
  <c r="BD179" i="1"/>
  <c r="BC179" i="1"/>
  <c r="BB179" i="1"/>
  <c r="BA179" i="1"/>
  <c r="AZ179" i="1"/>
  <c r="AY179" i="1"/>
  <c r="AX179" i="1"/>
  <c r="BS178" i="1"/>
  <c r="BR178" i="1"/>
  <c r="BQ178" i="1"/>
  <c r="BP178" i="1"/>
  <c r="BO178" i="1"/>
  <c r="BN178" i="1"/>
  <c r="BM178" i="1"/>
  <c r="BL178" i="1"/>
  <c r="BK178" i="1"/>
  <c r="BJ178" i="1"/>
  <c r="BG178" i="1"/>
  <c r="BF178" i="1"/>
  <c r="BE178" i="1"/>
  <c r="BD178" i="1"/>
  <c r="BC178" i="1"/>
  <c r="BB178" i="1"/>
  <c r="BA178" i="1"/>
  <c r="AZ178" i="1"/>
  <c r="AY178" i="1"/>
  <c r="AX178" i="1"/>
  <c r="BS177" i="1"/>
  <c r="BR177" i="1"/>
  <c r="BQ177" i="1"/>
  <c r="BP177" i="1"/>
  <c r="BO177" i="1"/>
  <c r="BN177" i="1"/>
  <c r="BM177" i="1"/>
  <c r="BL177" i="1"/>
  <c r="BK177" i="1"/>
  <c r="BJ177" i="1"/>
  <c r="BG177" i="1"/>
  <c r="BF177" i="1"/>
  <c r="BE177" i="1"/>
  <c r="BD177" i="1"/>
  <c r="BC177" i="1"/>
  <c r="BB177" i="1"/>
  <c r="BA177" i="1"/>
  <c r="AZ177" i="1"/>
  <c r="AY177" i="1"/>
  <c r="AX177" i="1"/>
  <c r="BS176" i="1"/>
  <c r="BR176" i="1"/>
  <c r="BQ176" i="1"/>
  <c r="BP176" i="1"/>
  <c r="BO176" i="1"/>
  <c r="BN176" i="1"/>
  <c r="BM176" i="1"/>
  <c r="BL176" i="1"/>
  <c r="BK176" i="1"/>
  <c r="BJ176" i="1"/>
  <c r="BG176" i="1"/>
  <c r="BF176" i="1"/>
  <c r="BE176" i="1"/>
  <c r="BD176" i="1"/>
  <c r="BC176" i="1"/>
  <c r="BB176" i="1"/>
  <c r="BA176" i="1"/>
  <c r="AZ176" i="1"/>
  <c r="AY176" i="1"/>
  <c r="AX176" i="1"/>
  <c r="BS175" i="1"/>
  <c r="BR175" i="1"/>
  <c r="BQ175" i="1"/>
  <c r="BP175" i="1"/>
  <c r="BO175" i="1"/>
  <c r="BN175" i="1"/>
  <c r="BM175" i="1"/>
  <c r="BL175" i="1"/>
  <c r="BK175" i="1"/>
  <c r="BJ175" i="1"/>
  <c r="BG175" i="1"/>
  <c r="BF175" i="1"/>
  <c r="BE175" i="1"/>
  <c r="BD175" i="1"/>
  <c r="BC175" i="1"/>
  <c r="BB175" i="1"/>
  <c r="BA175" i="1"/>
  <c r="AZ175" i="1"/>
  <c r="AY175" i="1"/>
  <c r="AX175" i="1"/>
  <c r="BS174" i="1"/>
  <c r="BR174" i="1"/>
  <c r="BQ174" i="1"/>
  <c r="BP174" i="1"/>
  <c r="BO174" i="1"/>
  <c r="BN174" i="1"/>
  <c r="BM174" i="1"/>
  <c r="BL174" i="1"/>
  <c r="BK174" i="1"/>
  <c r="BJ174" i="1"/>
  <c r="BG174" i="1"/>
  <c r="BF174" i="1"/>
  <c r="BE174" i="1"/>
  <c r="BD174" i="1"/>
  <c r="BC174" i="1"/>
  <c r="BB174" i="1"/>
  <c r="BA174" i="1"/>
  <c r="AZ174" i="1"/>
  <c r="AY174" i="1"/>
  <c r="AX174" i="1"/>
  <c r="BS173" i="1"/>
  <c r="BR173" i="1"/>
  <c r="BQ173" i="1"/>
  <c r="BP173" i="1"/>
  <c r="BO173" i="1"/>
  <c r="BN173" i="1"/>
  <c r="BM173" i="1"/>
  <c r="BL173" i="1"/>
  <c r="BK173" i="1"/>
  <c r="BJ173" i="1"/>
  <c r="BG173" i="1"/>
  <c r="BF173" i="1"/>
  <c r="BE173" i="1"/>
  <c r="BD173" i="1"/>
  <c r="BC173" i="1"/>
  <c r="BB173" i="1"/>
  <c r="BA173" i="1"/>
  <c r="AZ173" i="1"/>
  <c r="AY173" i="1"/>
  <c r="AX173" i="1"/>
  <c r="BS172" i="1"/>
  <c r="BR172" i="1"/>
  <c r="BQ172" i="1"/>
  <c r="BP172" i="1"/>
  <c r="BO172" i="1"/>
  <c r="BN172" i="1"/>
  <c r="BM172" i="1"/>
  <c r="BL172" i="1"/>
  <c r="BK172" i="1"/>
  <c r="BJ172" i="1"/>
  <c r="BG172" i="1"/>
  <c r="BF172" i="1"/>
  <c r="BE172" i="1"/>
  <c r="BD172" i="1"/>
  <c r="BC172" i="1"/>
  <c r="BB172" i="1"/>
  <c r="BA172" i="1"/>
  <c r="AZ172" i="1"/>
  <c r="AY172" i="1"/>
  <c r="AX172" i="1"/>
  <c r="BS171" i="1"/>
  <c r="BR171" i="1"/>
  <c r="BQ171" i="1"/>
  <c r="BP171" i="1"/>
  <c r="BO171" i="1"/>
  <c r="BN171" i="1"/>
  <c r="BM171" i="1"/>
  <c r="BL171" i="1"/>
  <c r="BK171" i="1"/>
  <c r="BJ171" i="1"/>
  <c r="BG171" i="1"/>
  <c r="BF171" i="1"/>
  <c r="BE171" i="1"/>
  <c r="BD171" i="1"/>
  <c r="BC171" i="1"/>
  <c r="BB171" i="1"/>
  <c r="BA171" i="1"/>
  <c r="AZ171" i="1"/>
  <c r="AY171" i="1"/>
  <c r="AX171" i="1"/>
  <c r="BS170" i="1"/>
  <c r="BR170" i="1"/>
  <c r="BQ170" i="1"/>
  <c r="BP170" i="1"/>
  <c r="BO170" i="1"/>
  <c r="BN170" i="1"/>
  <c r="BM170" i="1"/>
  <c r="BL170" i="1"/>
  <c r="BK170" i="1"/>
  <c r="BJ170" i="1"/>
  <c r="BG170" i="1"/>
  <c r="BF170" i="1"/>
  <c r="BE170" i="1"/>
  <c r="BD170" i="1"/>
  <c r="BC170" i="1"/>
  <c r="BB170" i="1"/>
  <c r="BA170" i="1"/>
  <c r="AZ170" i="1"/>
  <c r="AY170" i="1"/>
  <c r="AX170" i="1"/>
  <c r="BS169" i="1"/>
  <c r="BR169" i="1"/>
  <c r="BQ169" i="1"/>
  <c r="BP169" i="1"/>
  <c r="BO169" i="1"/>
  <c r="BN169" i="1"/>
  <c r="BM169" i="1"/>
  <c r="BL169" i="1"/>
  <c r="BK169" i="1"/>
  <c r="BJ169" i="1"/>
  <c r="BG169" i="1"/>
  <c r="BF169" i="1"/>
  <c r="BE169" i="1"/>
  <c r="BD169" i="1"/>
  <c r="BC169" i="1"/>
  <c r="BB169" i="1"/>
  <c r="BA169" i="1"/>
  <c r="AZ169" i="1"/>
  <c r="AY169" i="1"/>
  <c r="AX169" i="1"/>
  <c r="BS168" i="1"/>
  <c r="BR168" i="1"/>
  <c r="BQ168" i="1"/>
  <c r="BP168" i="1"/>
  <c r="BO168" i="1"/>
  <c r="BN168" i="1"/>
  <c r="BM168" i="1"/>
  <c r="BL168" i="1"/>
  <c r="BK168" i="1"/>
  <c r="BJ168" i="1"/>
  <c r="BG168" i="1"/>
  <c r="BF168" i="1"/>
  <c r="BE168" i="1"/>
  <c r="BD168" i="1"/>
  <c r="BC168" i="1"/>
  <c r="BB168" i="1"/>
  <c r="BA168" i="1"/>
  <c r="AZ168" i="1"/>
  <c r="AY168" i="1"/>
  <c r="AX168" i="1"/>
  <c r="BS167" i="1"/>
  <c r="BR167" i="1"/>
  <c r="BQ167" i="1"/>
  <c r="BP167" i="1"/>
  <c r="BO167" i="1"/>
  <c r="BN167" i="1"/>
  <c r="BM167" i="1"/>
  <c r="BL167" i="1"/>
  <c r="BK167" i="1"/>
  <c r="BJ167" i="1"/>
  <c r="BG167" i="1"/>
  <c r="BF167" i="1"/>
  <c r="BE167" i="1"/>
  <c r="BD167" i="1"/>
  <c r="BC167" i="1"/>
  <c r="BB167" i="1"/>
  <c r="BA167" i="1"/>
  <c r="AZ167" i="1"/>
  <c r="AY167" i="1"/>
  <c r="AX167" i="1"/>
  <c r="BS166" i="1"/>
  <c r="BR166" i="1"/>
  <c r="BQ166" i="1"/>
  <c r="BP166" i="1"/>
  <c r="BO166" i="1"/>
  <c r="BN166" i="1"/>
  <c r="BM166" i="1"/>
  <c r="BL166" i="1"/>
  <c r="BK166" i="1"/>
  <c r="BJ166" i="1"/>
  <c r="BG166" i="1"/>
  <c r="BF166" i="1"/>
  <c r="BE166" i="1"/>
  <c r="BD166" i="1"/>
  <c r="BC166" i="1"/>
  <c r="BB166" i="1"/>
  <c r="BA166" i="1"/>
  <c r="AZ166" i="1"/>
  <c r="AY166" i="1"/>
  <c r="AX166" i="1"/>
  <c r="BS165" i="1"/>
  <c r="BR165" i="1"/>
  <c r="BQ165" i="1"/>
  <c r="BP165" i="1"/>
  <c r="BO165" i="1"/>
  <c r="BN165" i="1"/>
  <c r="BM165" i="1"/>
  <c r="BL165" i="1"/>
  <c r="BK165" i="1"/>
  <c r="BJ165" i="1"/>
  <c r="BG165" i="1"/>
  <c r="BF165" i="1"/>
  <c r="BE165" i="1"/>
  <c r="BD165" i="1"/>
  <c r="BC165" i="1"/>
  <c r="BB165" i="1"/>
  <c r="BA165" i="1"/>
  <c r="AZ165" i="1"/>
  <c r="AY165" i="1"/>
  <c r="AX165" i="1"/>
  <c r="BS164" i="1"/>
  <c r="BR164" i="1"/>
  <c r="BQ164" i="1"/>
  <c r="BP164" i="1"/>
  <c r="BO164" i="1"/>
  <c r="BN164" i="1"/>
  <c r="BM164" i="1"/>
  <c r="BL164" i="1"/>
  <c r="BK164" i="1"/>
  <c r="BJ164" i="1"/>
  <c r="BG164" i="1"/>
  <c r="BF164" i="1"/>
  <c r="BE164" i="1"/>
  <c r="BD164" i="1"/>
  <c r="BC164" i="1"/>
  <c r="BB164" i="1"/>
  <c r="BA164" i="1"/>
  <c r="AZ164" i="1"/>
  <c r="AY164" i="1"/>
  <c r="AX164" i="1"/>
  <c r="BS163" i="1"/>
  <c r="BR163" i="1"/>
  <c r="BQ163" i="1"/>
  <c r="BP163" i="1"/>
  <c r="BO163" i="1"/>
  <c r="BN163" i="1"/>
  <c r="BM163" i="1"/>
  <c r="BL163" i="1"/>
  <c r="BK163" i="1"/>
  <c r="BJ163" i="1"/>
  <c r="BG163" i="1"/>
  <c r="BF163" i="1"/>
  <c r="BE163" i="1"/>
  <c r="BD163" i="1"/>
  <c r="BC163" i="1"/>
  <c r="BB163" i="1"/>
  <c r="BA163" i="1"/>
  <c r="AZ163" i="1"/>
  <c r="AY163" i="1"/>
  <c r="AX163" i="1"/>
  <c r="BS162" i="1"/>
  <c r="BR162" i="1"/>
  <c r="BQ162" i="1"/>
  <c r="BP162" i="1"/>
  <c r="BO162" i="1"/>
  <c r="BN162" i="1"/>
  <c r="BM162" i="1"/>
  <c r="BL162" i="1"/>
  <c r="BK162" i="1"/>
  <c r="BJ162" i="1"/>
  <c r="BG162" i="1"/>
  <c r="BF162" i="1"/>
  <c r="BE162" i="1"/>
  <c r="BD162" i="1"/>
  <c r="BC162" i="1"/>
  <c r="BB162" i="1"/>
  <c r="BA162" i="1"/>
  <c r="AZ162" i="1"/>
  <c r="AY162" i="1"/>
  <c r="AX162" i="1"/>
  <c r="BS161" i="1"/>
  <c r="BR161" i="1"/>
  <c r="BQ161" i="1"/>
  <c r="BP161" i="1"/>
  <c r="BO161" i="1"/>
  <c r="BN161" i="1"/>
  <c r="BM161" i="1"/>
  <c r="BL161" i="1"/>
  <c r="BK161" i="1"/>
  <c r="BJ161" i="1"/>
  <c r="BG161" i="1"/>
  <c r="BF161" i="1"/>
  <c r="BE161" i="1"/>
  <c r="BD161" i="1"/>
  <c r="BC161" i="1"/>
  <c r="BB161" i="1"/>
  <c r="BA161" i="1"/>
  <c r="AZ161" i="1"/>
  <c r="AY161" i="1"/>
  <c r="AX161" i="1"/>
  <c r="BS160" i="1"/>
  <c r="BR160" i="1"/>
  <c r="BQ160" i="1"/>
  <c r="BP160" i="1"/>
  <c r="BO160" i="1"/>
  <c r="BN160" i="1"/>
  <c r="BM160" i="1"/>
  <c r="BL160" i="1"/>
  <c r="BK160" i="1"/>
  <c r="BJ160" i="1"/>
  <c r="BG160" i="1"/>
  <c r="BF160" i="1"/>
  <c r="BE160" i="1"/>
  <c r="BD160" i="1"/>
  <c r="BC160" i="1"/>
  <c r="BB160" i="1"/>
  <c r="BA160" i="1"/>
  <c r="AZ160" i="1"/>
  <c r="AY160" i="1"/>
  <c r="AX160" i="1"/>
  <c r="BS159" i="1"/>
  <c r="BR159" i="1"/>
  <c r="BQ159" i="1"/>
  <c r="BP159" i="1"/>
  <c r="BO159" i="1"/>
  <c r="BN159" i="1"/>
  <c r="BM159" i="1"/>
  <c r="BL159" i="1"/>
  <c r="BK159" i="1"/>
  <c r="BJ159" i="1"/>
  <c r="BG159" i="1"/>
  <c r="BF159" i="1"/>
  <c r="BE159" i="1"/>
  <c r="BD159" i="1"/>
  <c r="BC159" i="1"/>
  <c r="BB159" i="1"/>
  <c r="BA159" i="1"/>
  <c r="AZ159" i="1"/>
  <c r="AY159" i="1"/>
  <c r="AX159" i="1"/>
  <c r="BS158" i="1"/>
  <c r="BR158" i="1"/>
  <c r="BQ158" i="1"/>
  <c r="BP158" i="1"/>
  <c r="BO158" i="1"/>
  <c r="BN158" i="1"/>
  <c r="BM158" i="1"/>
  <c r="BL158" i="1"/>
  <c r="BK158" i="1"/>
  <c r="BJ158" i="1"/>
  <c r="BG158" i="1"/>
  <c r="BF158" i="1"/>
  <c r="BE158" i="1"/>
  <c r="BD158" i="1"/>
  <c r="BC158" i="1"/>
  <c r="BB158" i="1"/>
  <c r="BA158" i="1"/>
  <c r="AZ158" i="1"/>
  <c r="AY158" i="1"/>
  <c r="AX158" i="1"/>
  <c r="BS157" i="1"/>
  <c r="BR157" i="1"/>
  <c r="BQ157" i="1"/>
  <c r="BP157" i="1"/>
  <c r="BO157" i="1"/>
  <c r="BN157" i="1"/>
  <c r="BM157" i="1"/>
  <c r="BL157" i="1"/>
  <c r="BK157" i="1"/>
  <c r="BJ157" i="1"/>
  <c r="BG157" i="1"/>
  <c r="BF157" i="1"/>
  <c r="BE157" i="1"/>
  <c r="BD157" i="1"/>
  <c r="BC157" i="1"/>
  <c r="BB157" i="1"/>
  <c r="BA157" i="1"/>
  <c r="AZ157" i="1"/>
  <c r="AY157" i="1"/>
  <c r="AX157" i="1"/>
  <c r="BS156" i="1"/>
  <c r="BR156" i="1"/>
  <c r="BQ156" i="1"/>
  <c r="BP156" i="1"/>
  <c r="BO156" i="1"/>
  <c r="BN156" i="1"/>
  <c r="BM156" i="1"/>
  <c r="BL156" i="1"/>
  <c r="BK156" i="1"/>
  <c r="BJ156" i="1"/>
  <c r="BG156" i="1"/>
  <c r="BF156" i="1"/>
  <c r="BE156" i="1"/>
  <c r="BD156" i="1"/>
  <c r="BC156" i="1"/>
  <c r="BB156" i="1"/>
  <c r="BA156" i="1"/>
  <c r="AZ156" i="1"/>
  <c r="AY156" i="1"/>
  <c r="AX156" i="1"/>
  <c r="BS155" i="1"/>
  <c r="BR155" i="1"/>
  <c r="BQ155" i="1"/>
  <c r="BP155" i="1"/>
  <c r="BO155" i="1"/>
  <c r="BN155" i="1"/>
  <c r="BM155" i="1"/>
  <c r="BL155" i="1"/>
  <c r="BK155" i="1"/>
  <c r="BJ155" i="1"/>
  <c r="BG155" i="1"/>
  <c r="BF155" i="1"/>
  <c r="BE155" i="1"/>
  <c r="BD155" i="1"/>
  <c r="BC155" i="1"/>
  <c r="BB155" i="1"/>
  <c r="BA155" i="1"/>
  <c r="AZ155" i="1"/>
  <c r="AY155" i="1"/>
  <c r="AX155" i="1"/>
  <c r="BS154" i="1"/>
  <c r="BR154" i="1"/>
  <c r="BQ154" i="1"/>
  <c r="BP154" i="1"/>
  <c r="BO154" i="1"/>
  <c r="BN154" i="1"/>
  <c r="BM154" i="1"/>
  <c r="BL154" i="1"/>
  <c r="BK154" i="1"/>
  <c r="BJ154" i="1"/>
  <c r="BG154" i="1"/>
  <c r="BF154" i="1"/>
  <c r="BE154" i="1"/>
  <c r="BD154" i="1"/>
  <c r="BC154" i="1"/>
  <c r="BB154" i="1"/>
  <c r="BA154" i="1"/>
  <c r="AZ154" i="1"/>
  <c r="AY154" i="1"/>
  <c r="AX154" i="1"/>
  <c r="BS153" i="1"/>
  <c r="BR153" i="1"/>
  <c r="BQ153" i="1"/>
  <c r="BP153" i="1"/>
  <c r="BO153" i="1"/>
  <c r="BN153" i="1"/>
  <c r="BM153" i="1"/>
  <c r="BL153" i="1"/>
  <c r="BK153" i="1"/>
  <c r="BJ153" i="1"/>
  <c r="BG153" i="1"/>
  <c r="BF153" i="1"/>
  <c r="BE153" i="1"/>
  <c r="BD153" i="1"/>
  <c r="BC153" i="1"/>
  <c r="BB153" i="1"/>
  <c r="BA153" i="1"/>
  <c r="AZ153" i="1"/>
  <c r="AY153" i="1"/>
  <c r="AX153" i="1"/>
  <c r="BS152" i="1"/>
  <c r="BR152" i="1"/>
  <c r="BQ152" i="1"/>
  <c r="BP152" i="1"/>
  <c r="BO152" i="1"/>
  <c r="BN152" i="1"/>
  <c r="BM152" i="1"/>
  <c r="BL152" i="1"/>
  <c r="BK152" i="1"/>
  <c r="BJ152" i="1"/>
  <c r="BG152" i="1"/>
  <c r="BF152" i="1"/>
  <c r="BE152" i="1"/>
  <c r="BD152" i="1"/>
  <c r="BC152" i="1"/>
  <c r="BB152" i="1"/>
  <c r="BA152" i="1"/>
  <c r="AZ152" i="1"/>
  <c r="AY152" i="1"/>
  <c r="AX152" i="1"/>
  <c r="BS151" i="1"/>
  <c r="BR151" i="1"/>
  <c r="BQ151" i="1"/>
  <c r="BP151" i="1"/>
  <c r="BO151" i="1"/>
  <c r="BN151" i="1"/>
  <c r="BM151" i="1"/>
  <c r="BL151" i="1"/>
  <c r="BK151" i="1"/>
  <c r="BJ151" i="1"/>
  <c r="BG151" i="1"/>
  <c r="BF151" i="1"/>
  <c r="BE151" i="1"/>
  <c r="BD151" i="1"/>
  <c r="BC151" i="1"/>
  <c r="BB151" i="1"/>
  <c r="BA151" i="1"/>
  <c r="AZ151" i="1"/>
  <c r="AY151" i="1"/>
  <c r="AX151" i="1"/>
  <c r="BS150" i="1"/>
  <c r="BR150" i="1"/>
  <c r="BQ150" i="1"/>
  <c r="BP150" i="1"/>
  <c r="BO150" i="1"/>
  <c r="BN150" i="1"/>
  <c r="BM150" i="1"/>
  <c r="BL150" i="1"/>
  <c r="BK150" i="1"/>
  <c r="BJ150" i="1"/>
  <c r="BG150" i="1"/>
  <c r="BF150" i="1"/>
  <c r="BE150" i="1"/>
  <c r="BD150" i="1"/>
  <c r="BC150" i="1"/>
  <c r="BB150" i="1"/>
  <c r="BA150" i="1"/>
  <c r="AZ150" i="1"/>
  <c r="AY150" i="1"/>
  <c r="AX150" i="1"/>
  <c r="BS149" i="1"/>
  <c r="BR149" i="1"/>
  <c r="BQ149" i="1"/>
  <c r="BP149" i="1"/>
  <c r="BO149" i="1"/>
  <c r="BN149" i="1"/>
  <c r="BM149" i="1"/>
  <c r="BL149" i="1"/>
  <c r="BK149" i="1"/>
  <c r="BJ149" i="1"/>
  <c r="BG149" i="1"/>
  <c r="BF149" i="1"/>
  <c r="BE149" i="1"/>
  <c r="BD149" i="1"/>
  <c r="BC149" i="1"/>
  <c r="BB149" i="1"/>
  <c r="BA149" i="1"/>
  <c r="AZ149" i="1"/>
  <c r="AY149" i="1"/>
  <c r="AX149" i="1"/>
  <c r="BS148" i="1"/>
  <c r="BR148" i="1"/>
  <c r="BQ148" i="1"/>
  <c r="BP148" i="1"/>
  <c r="BO148" i="1"/>
  <c r="BN148" i="1"/>
  <c r="BM148" i="1"/>
  <c r="BL148" i="1"/>
  <c r="BK148" i="1"/>
  <c r="BJ148" i="1"/>
  <c r="BG148" i="1"/>
  <c r="BF148" i="1"/>
  <c r="BE148" i="1"/>
  <c r="BD148" i="1"/>
  <c r="BC148" i="1"/>
  <c r="BB148" i="1"/>
  <c r="BA148" i="1"/>
  <c r="AZ148" i="1"/>
  <c r="AY148" i="1"/>
  <c r="AX148" i="1"/>
  <c r="BS147" i="1"/>
  <c r="BR147" i="1"/>
  <c r="BQ147" i="1"/>
  <c r="BP147" i="1"/>
  <c r="BO147" i="1"/>
  <c r="BN147" i="1"/>
  <c r="BM147" i="1"/>
  <c r="BL147" i="1"/>
  <c r="BK147" i="1"/>
  <c r="BJ147" i="1"/>
  <c r="BG147" i="1"/>
  <c r="BF147" i="1"/>
  <c r="BE147" i="1"/>
  <c r="BD147" i="1"/>
  <c r="BC147" i="1"/>
  <c r="BB147" i="1"/>
  <c r="BA147" i="1"/>
  <c r="AZ147" i="1"/>
  <c r="AY147" i="1"/>
  <c r="AX147" i="1"/>
  <c r="BS146" i="1"/>
  <c r="BR146" i="1"/>
  <c r="BQ146" i="1"/>
  <c r="BP146" i="1"/>
  <c r="BO146" i="1"/>
  <c r="BN146" i="1"/>
  <c r="BM146" i="1"/>
  <c r="BL146" i="1"/>
  <c r="BK146" i="1"/>
  <c r="BJ146" i="1"/>
  <c r="BG146" i="1"/>
  <c r="BF146" i="1"/>
  <c r="BE146" i="1"/>
  <c r="BD146" i="1"/>
  <c r="BC146" i="1"/>
  <c r="BB146" i="1"/>
  <c r="BA146" i="1"/>
  <c r="AZ146" i="1"/>
  <c r="AY146" i="1"/>
  <c r="AX146" i="1"/>
  <c r="BS145" i="1"/>
  <c r="BR145" i="1"/>
  <c r="BQ145" i="1"/>
  <c r="BP145" i="1"/>
  <c r="BO145" i="1"/>
  <c r="BN145" i="1"/>
  <c r="BM145" i="1"/>
  <c r="BL145" i="1"/>
  <c r="BK145" i="1"/>
  <c r="BJ145" i="1"/>
  <c r="BG145" i="1"/>
  <c r="BF145" i="1"/>
  <c r="BE145" i="1"/>
  <c r="BD145" i="1"/>
  <c r="BC145" i="1"/>
  <c r="BB145" i="1"/>
  <c r="BA145" i="1"/>
  <c r="AZ145" i="1"/>
  <c r="AY145" i="1"/>
  <c r="AX145" i="1"/>
  <c r="BS144" i="1"/>
  <c r="BR144" i="1"/>
  <c r="BQ144" i="1"/>
  <c r="BP144" i="1"/>
  <c r="BO144" i="1"/>
  <c r="BN144" i="1"/>
  <c r="BM144" i="1"/>
  <c r="BL144" i="1"/>
  <c r="BK144" i="1"/>
  <c r="BJ144" i="1"/>
  <c r="BG144" i="1"/>
  <c r="BF144" i="1"/>
  <c r="BE144" i="1"/>
  <c r="BD144" i="1"/>
  <c r="BC144" i="1"/>
  <c r="BB144" i="1"/>
  <c r="BA144" i="1"/>
  <c r="AZ144" i="1"/>
  <c r="AY144" i="1"/>
  <c r="AX144" i="1"/>
  <c r="BS143" i="1"/>
  <c r="BR143" i="1"/>
  <c r="BQ143" i="1"/>
  <c r="BP143" i="1"/>
  <c r="BO143" i="1"/>
  <c r="BN143" i="1"/>
  <c r="BM143" i="1"/>
  <c r="BL143" i="1"/>
  <c r="BK143" i="1"/>
  <c r="BJ143" i="1"/>
  <c r="BG143" i="1"/>
  <c r="BF143" i="1"/>
  <c r="BE143" i="1"/>
  <c r="BD143" i="1"/>
  <c r="BC143" i="1"/>
  <c r="BB143" i="1"/>
  <c r="BA143" i="1"/>
  <c r="AZ143" i="1"/>
  <c r="AY143" i="1"/>
  <c r="AX143" i="1"/>
  <c r="BS142" i="1"/>
  <c r="BR142" i="1"/>
  <c r="BQ142" i="1"/>
  <c r="BP142" i="1"/>
  <c r="BO142" i="1"/>
  <c r="BN142" i="1"/>
  <c r="BM142" i="1"/>
  <c r="BL142" i="1"/>
  <c r="BK142" i="1"/>
  <c r="BJ142" i="1"/>
  <c r="BG142" i="1"/>
  <c r="BF142" i="1"/>
  <c r="BE142" i="1"/>
  <c r="BD142" i="1"/>
  <c r="BC142" i="1"/>
  <c r="BB142" i="1"/>
  <c r="BA142" i="1"/>
  <c r="AZ142" i="1"/>
  <c r="AY142" i="1"/>
  <c r="AX142" i="1"/>
  <c r="BS141" i="1"/>
  <c r="BR141" i="1"/>
  <c r="BQ141" i="1"/>
  <c r="BP141" i="1"/>
  <c r="BO141" i="1"/>
  <c r="BN141" i="1"/>
  <c r="BM141" i="1"/>
  <c r="BL141" i="1"/>
  <c r="BK141" i="1"/>
  <c r="BJ141" i="1"/>
  <c r="BG141" i="1"/>
  <c r="BF141" i="1"/>
  <c r="BE141" i="1"/>
  <c r="BD141" i="1"/>
  <c r="BC141" i="1"/>
  <c r="BB141" i="1"/>
  <c r="BA141" i="1"/>
  <c r="AZ141" i="1"/>
  <c r="AY141" i="1"/>
  <c r="AX141" i="1"/>
  <c r="BS140" i="1"/>
  <c r="BR140" i="1"/>
  <c r="BQ140" i="1"/>
  <c r="BP140" i="1"/>
  <c r="BO140" i="1"/>
  <c r="BN140" i="1"/>
  <c r="BM140" i="1"/>
  <c r="BL140" i="1"/>
  <c r="BK140" i="1"/>
  <c r="BJ140" i="1"/>
  <c r="BG140" i="1"/>
  <c r="BF140" i="1"/>
  <c r="BE140" i="1"/>
  <c r="BD140" i="1"/>
  <c r="BC140" i="1"/>
  <c r="BB140" i="1"/>
  <c r="BA140" i="1"/>
  <c r="AZ140" i="1"/>
  <c r="AY140" i="1"/>
  <c r="AX140" i="1"/>
  <c r="BS139" i="1"/>
  <c r="BR139" i="1"/>
  <c r="BQ139" i="1"/>
  <c r="BP139" i="1"/>
  <c r="BO139" i="1"/>
  <c r="BN139" i="1"/>
  <c r="BM139" i="1"/>
  <c r="BL139" i="1"/>
  <c r="BK139" i="1"/>
  <c r="BJ139" i="1"/>
  <c r="BG139" i="1"/>
  <c r="BF139" i="1"/>
  <c r="BE139" i="1"/>
  <c r="BD139" i="1"/>
  <c r="BC139" i="1"/>
  <c r="BB139" i="1"/>
  <c r="BA139" i="1"/>
  <c r="AZ139" i="1"/>
  <c r="AY139" i="1"/>
  <c r="AX139" i="1"/>
  <c r="BS138" i="1"/>
  <c r="BR138" i="1"/>
  <c r="BQ138" i="1"/>
  <c r="BP138" i="1"/>
  <c r="BO138" i="1"/>
  <c r="BN138" i="1"/>
  <c r="BM138" i="1"/>
  <c r="BL138" i="1"/>
  <c r="BK138" i="1"/>
  <c r="BJ138" i="1"/>
  <c r="BG138" i="1"/>
  <c r="BF138" i="1"/>
  <c r="BE138" i="1"/>
  <c r="BD138" i="1"/>
  <c r="BC138" i="1"/>
  <c r="BB138" i="1"/>
  <c r="BA138" i="1"/>
  <c r="AZ138" i="1"/>
  <c r="AY138" i="1"/>
  <c r="AX138" i="1"/>
  <c r="BS137" i="1"/>
  <c r="BR137" i="1"/>
  <c r="BQ137" i="1"/>
  <c r="BP137" i="1"/>
  <c r="BO137" i="1"/>
  <c r="BN137" i="1"/>
  <c r="BM137" i="1"/>
  <c r="BL137" i="1"/>
  <c r="BK137" i="1"/>
  <c r="BJ137" i="1"/>
  <c r="BG137" i="1"/>
  <c r="BF137" i="1"/>
  <c r="BE137" i="1"/>
  <c r="BD137" i="1"/>
  <c r="BC137" i="1"/>
  <c r="BB137" i="1"/>
  <c r="BA137" i="1"/>
  <c r="AZ137" i="1"/>
  <c r="AY137" i="1"/>
  <c r="AX137" i="1"/>
  <c r="BS136" i="1"/>
  <c r="BR136" i="1"/>
  <c r="BQ136" i="1"/>
  <c r="BP136" i="1"/>
  <c r="BO136" i="1"/>
  <c r="BN136" i="1"/>
  <c r="BM136" i="1"/>
  <c r="BL136" i="1"/>
  <c r="BK136" i="1"/>
  <c r="BJ136" i="1"/>
  <c r="BG136" i="1"/>
  <c r="BF136" i="1"/>
  <c r="BE136" i="1"/>
  <c r="BD136" i="1"/>
  <c r="BC136" i="1"/>
  <c r="BB136" i="1"/>
  <c r="BA136" i="1"/>
  <c r="AZ136" i="1"/>
  <c r="AY136" i="1"/>
  <c r="AX136" i="1"/>
  <c r="BS135" i="1"/>
  <c r="BR135" i="1"/>
  <c r="BQ135" i="1"/>
  <c r="BP135" i="1"/>
  <c r="BO135" i="1"/>
  <c r="BN135" i="1"/>
  <c r="BM135" i="1"/>
  <c r="BL135" i="1"/>
  <c r="BK135" i="1"/>
  <c r="BJ135" i="1"/>
  <c r="BG135" i="1"/>
  <c r="BF135" i="1"/>
  <c r="BE135" i="1"/>
  <c r="BD135" i="1"/>
  <c r="BC135" i="1"/>
  <c r="BB135" i="1"/>
  <c r="BA135" i="1"/>
  <c r="AZ135" i="1"/>
  <c r="AY135" i="1"/>
  <c r="AX135" i="1"/>
  <c r="BS134" i="1"/>
  <c r="BR134" i="1"/>
  <c r="BQ134" i="1"/>
  <c r="BP134" i="1"/>
  <c r="BO134" i="1"/>
  <c r="BN134" i="1"/>
  <c r="BM134" i="1"/>
  <c r="BL134" i="1"/>
  <c r="BK134" i="1"/>
  <c r="BJ134" i="1"/>
  <c r="BG134" i="1"/>
  <c r="BF134" i="1"/>
  <c r="BE134" i="1"/>
  <c r="BD134" i="1"/>
  <c r="BC134" i="1"/>
  <c r="BB134" i="1"/>
  <c r="BA134" i="1"/>
  <c r="AZ134" i="1"/>
  <c r="AY134" i="1"/>
  <c r="AX134" i="1"/>
  <c r="BS133" i="1"/>
  <c r="BR133" i="1"/>
  <c r="BQ133" i="1"/>
  <c r="BP133" i="1"/>
  <c r="BO133" i="1"/>
  <c r="BN133" i="1"/>
  <c r="BM133" i="1"/>
  <c r="BL133" i="1"/>
  <c r="BK133" i="1"/>
  <c r="BJ133" i="1"/>
  <c r="BG133" i="1"/>
  <c r="BF133" i="1"/>
  <c r="BE133" i="1"/>
  <c r="BD133" i="1"/>
  <c r="BC133" i="1"/>
  <c r="BB133" i="1"/>
  <c r="BA133" i="1"/>
  <c r="AZ133" i="1"/>
  <c r="AY133" i="1"/>
  <c r="AX133" i="1"/>
  <c r="BS132" i="1"/>
  <c r="BR132" i="1"/>
  <c r="BQ132" i="1"/>
  <c r="BP132" i="1"/>
  <c r="BO132" i="1"/>
  <c r="BN132" i="1"/>
  <c r="BM132" i="1"/>
  <c r="BL132" i="1"/>
  <c r="BK132" i="1"/>
  <c r="BJ132" i="1"/>
  <c r="BG132" i="1"/>
  <c r="BF132" i="1"/>
  <c r="BE132" i="1"/>
  <c r="BD132" i="1"/>
  <c r="BC132" i="1"/>
  <c r="BB132" i="1"/>
  <c r="BA132" i="1"/>
  <c r="AZ132" i="1"/>
  <c r="AY132" i="1"/>
  <c r="AX132" i="1"/>
  <c r="BS131" i="1"/>
  <c r="BR131" i="1"/>
  <c r="BQ131" i="1"/>
  <c r="BP131" i="1"/>
  <c r="BO131" i="1"/>
  <c r="BN131" i="1"/>
  <c r="BM131" i="1"/>
  <c r="BL131" i="1"/>
  <c r="BK131" i="1"/>
  <c r="BJ131" i="1"/>
  <c r="BG131" i="1"/>
  <c r="BF131" i="1"/>
  <c r="BE131" i="1"/>
  <c r="BD131" i="1"/>
  <c r="BC131" i="1"/>
  <c r="BB131" i="1"/>
  <c r="BA131" i="1"/>
  <c r="AZ131" i="1"/>
  <c r="AY131" i="1"/>
  <c r="AX131" i="1"/>
  <c r="BS130" i="1"/>
  <c r="BR130" i="1"/>
  <c r="BQ130" i="1"/>
  <c r="BP130" i="1"/>
  <c r="BO130" i="1"/>
  <c r="BN130" i="1"/>
  <c r="BM130" i="1"/>
  <c r="BL130" i="1"/>
  <c r="BK130" i="1"/>
  <c r="BJ130" i="1"/>
  <c r="BG130" i="1"/>
  <c r="BF130" i="1"/>
  <c r="BE130" i="1"/>
  <c r="BD130" i="1"/>
  <c r="BC130" i="1"/>
  <c r="BB130" i="1"/>
  <c r="BA130" i="1"/>
  <c r="AZ130" i="1"/>
  <c r="AY130" i="1"/>
  <c r="AX130" i="1"/>
  <c r="BS129" i="1"/>
  <c r="BR129" i="1"/>
  <c r="BQ129" i="1"/>
  <c r="BP129" i="1"/>
  <c r="BO129" i="1"/>
  <c r="BN129" i="1"/>
  <c r="BM129" i="1"/>
  <c r="BL129" i="1"/>
  <c r="BK129" i="1"/>
  <c r="BJ129" i="1"/>
  <c r="BG129" i="1"/>
  <c r="BF129" i="1"/>
  <c r="BE129" i="1"/>
  <c r="BD129" i="1"/>
  <c r="BC129" i="1"/>
  <c r="BB129" i="1"/>
  <c r="BA129" i="1"/>
  <c r="AZ129" i="1"/>
  <c r="AY129" i="1"/>
  <c r="AX129" i="1"/>
  <c r="BS128" i="1"/>
  <c r="BR128" i="1"/>
  <c r="BQ128" i="1"/>
  <c r="BP128" i="1"/>
  <c r="BO128" i="1"/>
  <c r="BN128" i="1"/>
  <c r="BM128" i="1"/>
  <c r="BL128" i="1"/>
  <c r="BK128" i="1"/>
  <c r="BJ128" i="1"/>
  <c r="BG128" i="1"/>
  <c r="BF128" i="1"/>
  <c r="BE128" i="1"/>
  <c r="BD128" i="1"/>
  <c r="BC128" i="1"/>
  <c r="BB128" i="1"/>
  <c r="BA128" i="1"/>
  <c r="AZ128" i="1"/>
  <c r="AY128" i="1"/>
  <c r="AX128" i="1"/>
  <c r="BS127" i="1"/>
  <c r="BR127" i="1"/>
  <c r="BQ127" i="1"/>
  <c r="BP127" i="1"/>
  <c r="BO127" i="1"/>
  <c r="BN127" i="1"/>
  <c r="BM127" i="1"/>
  <c r="BL127" i="1"/>
  <c r="BK127" i="1"/>
  <c r="BJ127" i="1"/>
  <c r="BG127" i="1"/>
  <c r="BF127" i="1"/>
  <c r="BE127" i="1"/>
  <c r="BD127" i="1"/>
  <c r="BC127" i="1"/>
  <c r="BB127" i="1"/>
  <c r="BA127" i="1"/>
  <c r="AZ127" i="1"/>
  <c r="AY127" i="1"/>
  <c r="AX127" i="1"/>
  <c r="BS126" i="1"/>
  <c r="BR126" i="1"/>
  <c r="BQ126" i="1"/>
  <c r="BP126" i="1"/>
  <c r="BO126" i="1"/>
  <c r="BN126" i="1"/>
  <c r="BM126" i="1"/>
  <c r="BL126" i="1"/>
  <c r="BK126" i="1"/>
  <c r="BJ126" i="1"/>
  <c r="BG126" i="1"/>
  <c r="BF126" i="1"/>
  <c r="BE126" i="1"/>
  <c r="BD126" i="1"/>
  <c r="BC126" i="1"/>
  <c r="BB126" i="1"/>
  <c r="BA126" i="1"/>
  <c r="AZ126" i="1"/>
  <c r="AY126" i="1"/>
  <c r="AX126" i="1"/>
  <c r="BS125" i="1"/>
  <c r="BR125" i="1"/>
  <c r="BQ125" i="1"/>
  <c r="BP125" i="1"/>
  <c r="BO125" i="1"/>
  <c r="BN125" i="1"/>
  <c r="BM125" i="1"/>
  <c r="BL125" i="1"/>
  <c r="BK125" i="1"/>
  <c r="BJ125" i="1"/>
  <c r="BG125" i="1"/>
  <c r="BF125" i="1"/>
  <c r="BE125" i="1"/>
  <c r="BD125" i="1"/>
  <c r="BC125" i="1"/>
  <c r="BB125" i="1"/>
  <c r="BA125" i="1"/>
  <c r="AZ125" i="1"/>
  <c r="AY125" i="1"/>
  <c r="AX125" i="1"/>
  <c r="BS124" i="1"/>
  <c r="BR124" i="1"/>
  <c r="BQ124" i="1"/>
  <c r="BP124" i="1"/>
  <c r="BO124" i="1"/>
  <c r="BN124" i="1"/>
  <c r="BM124" i="1"/>
  <c r="BL124" i="1"/>
  <c r="BK124" i="1"/>
  <c r="BJ124" i="1"/>
  <c r="BG124" i="1"/>
  <c r="BF124" i="1"/>
  <c r="BE124" i="1"/>
  <c r="BD124" i="1"/>
  <c r="BC124" i="1"/>
  <c r="BB124" i="1"/>
  <c r="BA124" i="1"/>
  <c r="AZ124" i="1"/>
  <c r="AY124" i="1"/>
  <c r="AX124" i="1"/>
  <c r="BS123" i="1"/>
  <c r="BR123" i="1"/>
  <c r="BQ123" i="1"/>
  <c r="BP123" i="1"/>
  <c r="BO123" i="1"/>
  <c r="BN123" i="1"/>
  <c r="BM123" i="1"/>
  <c r="BL123" i="1"/>
  <c r="BK123" i="1"/>
  <c r="BJ123" i="1"/>
  <c r="BG123" i="1"/>
  <c r="BF123" i="1"/>
  <c r="BE123" i="1"/>
  <c r="BD123" i="1"/>
  <c r="BC123" i="1"/>
  <c r="BB123" i="1"/>
  <c r="BA123" i="1"/>
  <c r="AZ123" i="1"/>
  <c r="AY123" i="1"/>
  <c r="AX123" i="1"/>
  <c r="BS122" i="1"/>
  <c r="BR122" i="1"/>
  <c r="BQ122" i="1"/>
  <c r="BP122" i="1"/>
  <c r="BO122" i="1"/>
  <c r="BN122" i="1"/>
  <c r="BM122" i="1"/>
  <c r="BL122" i="1"/>
  <c r="BK122" i="1"/>
  <c r="BJ122" i="1"/>
  <c r="BG122" i="1"/>
  <c r="BF122" i="1"/>
  <c r="BE122" i="1"/>
  <c r="BD122" i="1"/>
  <c r="BC122" i="1"/>
  <c r="BB122" i="1"/>
  <c r="BA122" i="1"/>
  <c r="AZ122" i="1"/>
  <c r="AY122" i="1"/>
  <c r="AX122" i="1"/>
  <c r="BS121" i="1"/>
  <c r="BR121" i="1"/>
  <c r="BQ121" i="1"/>
  <c r="BP121" i="1"/>
  <c r="BO121" i="1"/>
  <c r="BN121" i="1"/>
  <c r="BM121" i="1"/>
  <c r="BL121" i="1"/>
  <c r="BK121" i="1"/>
  <c r="BJ121" i="1"/>
  <c r="BG121" i="1"/>
  <c r="BF121" i="1"/>
  <c r="BE121" i="1"/>
  <c r="BD121" i="1"/>
  <c r="BC121" i="1"/>
  <c r="BB121" i="1"/>
  <c r="BA121" i="1"/>
  <c r="AZ121" i="1"/>
  <c r="AY121" i="1"/>
  <c r="AX121" i="1"/>
  <c r="BS120" i="1"/>
  <c r="BR120" i="1"/>
  <c r="BQ120" i="1"/>
  <c r="BP120" i="1"/>
  <c r="BO120" i="1"/>
  <c r="BN120" i="1"/>
  <c r="BM120" i="1"/>
  <c r="BL120" i="1"/>
  <c r="BK120" i="1"/>
  <c r="BJ120" i="1"/>
  <c r="BG120" i="1"/>
  <c r="BF120" i="1"/>
  <c r="BE120" i="1"/>
  <c r="BD120" i="1"/>
  <c r="BC120" i="1"/>
  <c r="BB120" i="1"/>
  <c r="BA120" i="1"/>
  <c r="AZ120" i="1"/>
  <c r="AY120" i="1"/>
  <c r="AX120" i="1"/>
  <c r="BS119" i="1"/>
  <c r="BR119" i="1"/>
  <c r="BQ119" i="1"/>
  <c r="BP119" i="1"/>
  <c r="BO119" i="1"/>
  <c r="BN119" i="1"/>
  <c r="BM119" i="1"/>
  <c r="BL119" i="1"/>
  <c r="BK119" i="1"/>
  <c r="BJ119" i="1"/>
  <c r="BG119" i="1"/>
  <c r="BF119" i="1"/>
  <c r="BE119" i="1"/>
  <c r="BD119" i="1"/>
  <c r="BC119" i="1"/>
  <c r="BB119" i="1"/>
  <c r="BA119" i="1"/>
  <c r="AZ119" i="1"/>
  <c r="AY119" i="1"/>
  <c r="AX119" i="1"/>
  <c r="BS118" i="1"/>
  <c r="BR118" i="1"/>
  <c r="BQ118" i="1"/>
  <c r="BP118" i="1"/>
  <c r="BO118" i="1"/>
  <c r="BN118" i="1"/>
  <c r="BM118" i="1"/>
  <c r="BL118" i="1"/>
  <c r="BK118" i="1"/>
  <c r="BJ118" i="1"/>
  <c r="BG118" i="1"/>
  <c r="BF118" i="1"/>
  <c r="BE118" i="1"/>
  <c r="BD118" i="1"/>
  <c r="BC118" i="1"/>
  <c r="BB118" i="1"/>
  <c r="BA118" i="1"/>
  <c r="AZ118" i="1"/>
  <c r="AY118" i="1"/>
  <c r="AX118" i="1"/>
  <c r="BS117" i="1"/>
  <c r="BR117" i="1"/>
  <c r="BQ117" i="1"/>
  <c r="BP117" i="1"/>
  <c r="BO117" i="1"/>
  <c r="BN117" i="1"/>
  <c r="BM117" i="1"/>
  <c r="BL117" i="1"/>
  <c r="BK117" i="1"/>
  <c r="BJ117" i="1"/>
  <c r="BG117" i="1"/>
  <c r="BF117" i="1"/>
  <c r="BE117" i="1"/>
  <c r="BD117" i="1"/>
  <c r="BC117" i="1"/>
  <c r="BB117" i="1"/>
  <c r="BA117" i="1"/>
  <c r="AZ117" i="1"/>
  <c r="AY117" i="1"/>
  <c r="AX117" i="1"/>
  <c r="BS116" i="1"/>
  <c r="BR116" i="1"/>
  <c r="BQ116" i="1"/>
  <c r="BP116" i="1"/>
  <c r="BO116" i="1"/>
  <c r="BN116" i="1"/>
  <c r="BM116" i="1"/>
  <c r="BL116" i="1"/>
  <c r="BK116" i="1"/>
  <c r="BJ116" i="1"/>
  <c r="BG116" i="1"/>
  <c r="BF116" i="1"/>
  <c r="BE116" i="1"/>
  <c r="BD116" i="1"/>
  <c r="BC116" i="1"/>
  <c r="BB116" i="1"/>
  <c r="BA116" i="1"/>
  <c r="AZ116" i="1"/>
  <c r="AY116" i="1"/>
  <c r="AX116" i="1"/>
  <c r="BS115" i="1"/>
  <c r="BR115" i="1"/>
  <c r="BQ115" i="1"/>
  <c r="BP115" i="1"/>
  <c r="BO115" i="1"/>
  <c r="BN115" i="1"/>
  <c r="BM115" i="1"/>
  <c r="BL115" i="1"/>
  <c r="BK115" i="1"/>
  <c r="BJ115" i="1"/>
  <c r="BG115" i="1"/>
  <c r="BF115" i="1"/>
  <c r="BE115" i="1"/>
  <c r="BD115" i="1"/>
  <c r="BC115" i="1"/>
  <c r="BB115" i="1"/>
  <c r="BA115" i="1"/>
  <c r="AZ115" i="1"/>
  <c r="AY115" i="1"/>
  <c r="AX115" i="1"/>
  <c r="BS114" i="1"/>
  <c r="BR114" i="1"/>
  <c r="BQ114" i="1"/>
  <c r="BP114" i="1"/>
  <c r="BO114" i="1"/>
  <c r="BN114" i="1"/>
  <c r="BM114" i="1"/>
  <c r="BL114" i="1"/>
  <c r="BK114" i="1"/>
  <c r="BJ114" i="1"/>
  <c r="BG114" i="1"/>
  <c r="BF114" i="1"/>
  <c r="BE114" i="1"/>
  <c r="BD114" i="1"/>
  <c r="BC114" i="1"/>
  <c r="BB114" i="1"/>
  <c r="BA114" i="1"/>
  <c r="AZ114" i="1"/>
  <c r="AY114" i="1"/>
  <c r="AX114" i="1"/>
  <c r="BS113" i="1"/>
  <c r="BR113" i="1"/>
  <c r="BQ113" i="1"/>
  <c r="BP113" i="1"/>
  <c r="BO113" i="1"/>
  <c r="BN113" i="1"/>
  <c r="BM113" i="1"/>
  <c r="BL113" i="1"/>
  <c r="BK113" i="1"/>
  <c r="BJ113" i="1"/>
  <c r="BG113" i="1"/>
  <c r="BF113" i="1"/>
  <c r="BE113" i="1"/>
  <c r="BD113" i="1"/>
  <c r="BC113" i="1"/>
  <c r="BB113" i="1"/>
  <c r="BA113" i="1"/>
  <c r="AZ113" i="1"/>
  <c r="AY113" i="1"/>
  <c r="AX113" i="1"/>
  <c r="BS112" i="1"/>
  <c r="BR112" i="1"/>
  <c r="BQ112" i="1"/>
  <c r="BP112" i="1"/>
  <c r="BO112" i="1"/>
  <c r="BN112" i="1"/>
  <c r="BM112" i="1"/>
  <c r="BL112" i="1"/>
  <c r="BK112" i="1"/>
  <c r="BJ112" i="1"/>
  <c r="BG112" i="1"/>
  <c r="BF112" i="1"/>
  <c r="BE112" i="1"/>
  <c r="BD112" i="1"/>
  <c r="BC112" i="1"/>
  <c r="BB112" i="1"/>
  <c r="BA112" i="1"/>
  <c r="AZ112" i="1"/>
  <c r="AY112" i="1"/>
  <c r="AX112" i="1"/>
  <c r="BS111" i="1"/>
  <c r="BR111" i="1"/>
  <c r="BQ111" i="1"/>
  <c r="BP111" i="1"/>
  <c r="BO111" i="1"/>
  <c r="BN111" i="1"/>
  <c r="BM111" i="1"/>
  <c r="BL111" i="1"/>
  <c r="BK111" i="1"/>
  <c r="BJ111" i="1"/>
  <c r="BG111" i="1"/>
  <c r="BF111" i="1"/>
  <c r="BE111" i="1"/>
  <c r="BD111" i="1"/>
  <c r="BC111" i="1"/>
  <c r="BB111" i="1"/>
  <c r="BA111" i="1"/>
  <c r="AZ111" i="1"/>
  <c r="AY111" i="1"/>
  <c r="AX111" i="1"/>
  <c r="BS110" i="1"/>
  <c r="BR110" i="1"/>
  <c r="BQ110" i="1"/>
  <c r="BP110" i="1"/>
  <c r="BO110" i="1"/>
  <c r="BN110" i="1"/>
  <c r="BM110" i="1"/>
  <c r="BL110" i="1"/>
  <c r="BK110" i="1"/>
  <c r="BJ110" i="1"/>
  <c r="BG110" i="1"/>
  <c r="BF110" i="1"/>
  <c r="BE110" i="1"/>
  <c r="BD110" i="1"/>
  <c r="BC110" i="1"/>
  <c r="BB110" i="1"/>
  <c r="BA110" i="1"/>
  <c r="AZ110" i="1"/>
  <c r="AY110" i="1"/>
  <c r="AX110" i="1"/>
  <c r="BS109" i="1"/>
  <c r="BR109" i="1"/>
  <c r="BQ109" i="1"/>
  <c r="BP109" i="1"/>
  <c r="BO109" i="1"/>
  <c r="BN109" i="1"/>
  <c r="BM109" i="1"/>
  <c r="BL109" i="1"/>
  <c r="BK109" i="1"/>
  <c r="BJ109" i="1"/>
  <c r="BG109" i="1"/>
  <c r="BF109" i="1"/>
  <c r="BE109" i="1"/>
  <c r="BD109" i="1"/>
  <c r="BC109" i="1"/>
  <c r="BB109" i="1"/>
  <c r="BA109" i="1"/>
  <c r="AZ109" i="1"/>
  <c r="AY109" i="1"/>
  <c r="AX109" i="1"/>
  <c r="BS108" i="1"/>
  <c r="BR108" i="1"/>
  <c r="BQ108" i="1"/>
  <c r="BP108" i="1"/>
  <c r="BO108" i="1"/>
  <c r="BN108" i="1"/>
  <c r="BM108" i="1"/>
  <c r="BL108" i="1"/>
  <c r="BK108" i="1"/>
  <c r="BJ108" i="1"/>
  <c r="BG108" i="1"/>
  <c r="BF108" i="1"/>
  <c r="BE108" i="1"/>
  <c r="BD108" i="1"/>
  <c r="BC108" i="1"/>
  <c r="BB108" i="1"/>
  <c r="BA108" i="1"/>
  <c r="AZ108" i="1"/>
  <c r="AY108" i="1"/>
  <c r="AX108" i="1"/>
  <c r="BS107" i="1"/>
  <c r="BR107" i="1"/>
  <c r="BQ107" i="1"/>
  <c r="BP107" i="1"/>
  <c r="BO107" i="1"/>
  <c r="BN107" i="1"/>
  <c r="BM107" i="1"/>
  <c r="BL107" i="1"/>
  <c r="BK107" i="1"/>
  <c r="BJ107" i="1"/>
  <c r="BG107" i="1"/>
  <c r="BF107" i="1"/>
  <c r="BE107" i="1"/>
  <c r="BD107" i="1"/>
  <c r="BC107" i="1"/>
  <c r="BB107" i="1"/>
  <c r="BA107" i="1"/>
  <c r="AZ107" i="1"/>
  <c r="AY107" i="1"/>
  <c r="AX107" i="1"/>
  <c r="BS106" i="1"/>
  <c r="BR106" i="1"/>
  <c r="BQ106" i="1"/>
  <c r="BP106" i="1"/>
  <c r="BO106" i="1"/>
  <c r="BN106" i="1"/>
  <c r="BM106" i="1"/>
  <c r="BL106" i="1"/>
  <c r="BK106" i="1"/>
  <c r="BJ106" i="1"/>
  <c r="BG106" i="1"/>
  <c r="BF106" i="1"/>
  <c r="BE106" i="1"/>
  <c r="BD106" i="1"/>
  <c r="BC106" i="1"/>
  <c r="BB106" i="1"/>
  <c r="BA106" i="1"/>
  <c r="AZ106" i="1"/>
  <c r="AY106" i="1"/>
  <c r="AX106" i="1"/>
  <c r="BS105" i="1"/>
  <c r="BR105" i="1"/>
  <c r="BQ105" i="1"/>
  <c r="BP105" i="1"/>
  <c r="BO105" i="1"/>
  <c r="BN105" i="1"/>
  <c r="BM105" i="1"/>
  <c r="BL105" i="1"/>
  <c r="BK105" i="1"/>
  <c r="BJ105" i="1"/>
  <c r="BG105" i="1"/>
  <c r="BF105" i="1"/>
  <c r="BE105" i="1"/>
  <c r="BD105" i="1"/>
  <c r="BC105" i="1"/>
  <c r="BB105" i="1"/>
  <c r="BA105" i="1"/>
  <c r="AZ105" i="1"/>
  <c r="AY105" i="1"/>
  <c r="AX105" i="1"/>
  <c r="BS104" i="1"/>
  <c r="BR104" i="1"/>
  <c r="BQ104" i="1"/>
  <c r="BP104" i="1"/>
  <c r="BO104" i="1"/>
  <c r="BN104" i="1"/>
  <c r="BM104" i="1"/>
  <c r="BL104" i="1"/>
  <c r="BK104" i="1"/>
  <c r="BJ104" i="1"/>
  <c r="BG104" i="1"/>
  <c r="BF104" i="1"/>
  <c r="BE104" i="1"/>
  <c r="BD104" i="1"/>
  <c r="BC104" i="1"/>
  <c r="BB104" i="1"/>
  <c r="BA104" i="1"/>
  <c r="AZ104" i="1"/>
  <c r="AY104" i="1"/>
  <c r="AX104" i="1"/>
  <c r="BS103" i="1"/>
  <c r="BR103" i="1"/>
  <c r="BQ103" i="1"/>
  <c r="BP103" i="1"/>
  <c r="BO103" i="1"/>
  <c r="BN103" i="1"/>
  <c r="BM103" i="1"/>
  <c r="BL103" i="1"/>
  <c r="BK103" i="1"/>
  <c r="BJ103" i="1"/>
  <c r="BG103" i="1"/>
  <c r="BF103" i="1"/>
  <c r="BE103" i="1"/>
  <c r="BD103" i="1"/>
  <c r="BC103" i="1"/>
  <c r="BB103" i="1"/>
  <c r="BA103" i="1"/>
  <c r="AZ103" i="1"/>
  <c r="AY103" i="1"/>
  <c r="AX103" i="1"/>
  <c r="BS102" i="1"/>
  <c r="BR102" i="1"/>
  <c r="BQ102" i="1"/>
  <c r="BP102" i="1"/>
  <c r="BO102" i="1"/>
  <c r="BN102" i="1"/>
  <c r="BM102" i="1"/>
  <c r="BL102" i="1"/>
  <c r="BK102" i="1"/>
  <c r="BJ102" i="1"/>
  <c r="BG102" i="1"/>
  <c r="BF102" i="1"/>
  <c r="BE102" i="1"/>
  <c r="BD102" i="1"/>
  <c r="BC102" i="1"/>
  <c r="BB102" i="1"/>
  <c r="BA102" i="1"/>
  <c r="AZ102" i="1"/>
  <c r="AY102" i="1"/>
  <c r="AX102" i="1"/>
  <c r="BS101" i="1"/>
  <c r="BR101" i="1"/>
  <c r="BQ101" i="1"/>
  <c r="BP101" i="1"/>
  <c r="BO101" i="1"/>
  <c r="BN101" i="1"/>
  <c r="BM101" i="1"/>
  <c r="BL101" i="1"/>
  <c r="BK101" i="1"/>
  <c r="BJ101" i="1"/>
  <c r="BG101" i="1"/>
  <c r="BF101" i="1"/>
  <c r="BE101" i="1"/>
  <c r="BD101" i="1"/>
  <c r="BC101" i="1"/>
  <c r="BB101" i="1"/>
  <c r="BA101" i="1"/>
  <c r="AZ101" i="1"/>
  <c r="AY101" i="1"/>
  <c r="AX101" i="1"/>
  <c r="BS100" i="1"/>
  <c r="BR100" i="1"/>
  <c r="BQ100" i="1"/>
  <c r="BP100" i="1"/>
  <c r="BO100" i="1"/>
  <c r="BN100" i="1"/>
  <c r="BM100" i="1"/>
  <c r="BL100" i="1"/>
  <c r="BK100" i="1"/>
  <c r="BJ100" i="1"/>
  <c r="BG100" i="1"/>
  <c r="BF100" i="1"/>
  <c r="BE100" i="1"/>
  <c r="BD100" i="1"/>
  <c r="BC100" i="1"/>
  <c r="BB100" i="1"/>
  <c r="BA100" i="1"/>
  <c r="AZ100" i="1"/>
  <c r="AY100" i="1"/>
  <c r="AX100" i="1"/>
  <c r="BS99" i="1"/>
  <c r="BR99" i="1"/>
  <c r="BQ99" i="1"/>
  <c r="BP99" i="1"/>
  <c r="BO99" i="1"/>
  <c r="BN99" i="1"/>
  <c r="BM99" i="1"/>
  <c r="BL99" i="1"/>
  <c r="BK99" i="1"/>
  <c r="BJ99" i="1"/>
  <c r="BG99" i="1"/>
  <c r="BF99" i="1"/>
  <c r="BE99" i="1"/>
  <c r="BD99" i="1"/>
  <c r="BC99" i="1"/>
  <c r="BB99" i="1"/>
  <c r="BA99" i="1"/>
  <c r="AZ99" i="1"/>
  <c r="AY99" i="1"/>
  <c r="AX99" i="1"/>
  <c r="BS98" i="1"/>
  <c r="BR98" i="1"/>
  <c r="BQ98" i="1"/>
  <c r="BP98" i="1"/>
  <c r="BO98" i="1"/>
  <c r="BN98" i="1"/>
  <c r="BM98" i="1"/>
  <c r="BL98" i="1"/>
  <c r="BK98" i="1"/>
  <c r="BJ98" i="1"/>
  <c r="BG98" i="1"/>
  <c r="BF98" i="1"/>
  <c r="BE98" i="1"/>
  <c r="BD98" i="1"/>
  <c r="BC98" i="1"/>
  <c r="BB98" i="1"/>
  <c r="BA98" i="1"/>
  <c r="AZ98" i="1"/>
  <c r="AY98" i="1"/>
  <c r="AX98" i="1"/>
  <c r="BS97" i="1"/>
  <c r="BR97" i="1"/>
  <c r="BQ97" i="1"/>
  <c r="BP97" i="1"/>
  <c r="BO97" i="1"/>
  <c r="BN97" i="1"/>
  <c r="BM97" i="1"/>
  <c r="BL97" i="1"/>
  <c r="BK97" i="1"/>
  <c r="BJ97" i="1"/>
  <c r="BG97" i="1"/>
  <c r="BF97" i="1"/>
  <c r="BE97" i="1"/>
  <c r="BD97" i="1"/>
  <c r="BC97" i="1"/>
  <c r="BB97" i="1"/>
  <c r="BA97" i="1"/>
  <c r="AZ97" i="1"/>
  <c r="AY97" i="1"/>
  <c r="AX97" i="1"/>
  <c r="BS96" i="1"/>
  <c r="BR96" i="1"/>
  <c r="BQ96" i="1"/>
  <c r="BP96" i="1"/>
  <c r="BO96" i="1"/>
  <c r="BN96" i="1"/>
  <c r="BM96" i="1"/>
  <c r="BL96" i="1"/>
  <c r="BK96" i="1"/>
  <c r="BJ96" i="1"/>
  <c r="BG96" i="1"/>
  <c r="BF96" i="1"/>
  <c r="BE96" i="1"/>
  <c r="BD96" i="1"/>
  <c r="BC96" i="1"/>
  <c r="BB96" i="1"/>
  <c r="BA96" i="1"/>
  <c r="AZ96" i="1"/>
  <c r="AY96" i="1"/>
  <c r="AX96" i="1"/>
  <c r="BS95" i="1"/>
  <c r="BR95" i="1"/>
  <c r="BQ95" i="1"/>
  <c r="BP95" i="1"/>
  <c r="BO95" i="1"/>
  <c r="BN95" i="1"/>
  <c r="BM95" i="1"/>
  <c r="BL95" i="1"/>
  <c r="BK95" i="1"/>
  <c r="BJ95" i="1"/>
  <c r="BG95" i="1"/>
  <c r="BF95" i="1"/>
  <c r="BE95" i="1"/>
  <c r="BD95" i="1"/>
  <c r="BC95" i="1"/>
  <c r="BB95" i="1"/>
  <c r="BA95" i="1"/>
  <c r="AZ95" i="1"/>
  <c r="AY95" i="1"/>
  <c r="AX95" i="1"/>
  <c r="BS94" i="1"/>
  <c r="BR94" i="1"/>
  <c r="BQ94" i="1"/>
  <c r="BP94" i="1"/>
  <c r="BO94" i="1"/>
  <c r="BN94" i="1"/>
  <c r="BM94" i="1"/>
  <c r="BL94" i="1"/>
  <c r="BK94" i="1"/>
  <c r="BJ94" i="1"/>
  <c r="BG94" i="1"/>
  <c r="BF94" i="1"/>
  <c r="BE94" i="1"/>
  <c r="BD94" i="1"/>
  <c r="BC94" i="1"/>
  <c r="BB94" i="1"/>
  <c r="BA94" i="1"/>
  <c r="AZ94" i="1"/>
  <c r="AY94" i="1"/>
  <c r="AX94" i="1"/>
  <c r="BS93" i="1"/>
  <c r="BR93" i="1"/>
  <c r="BQ93" i="1"/>
  <c r="BP93" i="1"/>
  <c r="BO93" i="1"/>
  <c r="BN93" i="1"/>
  <c r="BM93" i="1"/>
  <c r="BL93" i="1"/>
  <c r="BK93" i="1"/>
  <c r="BJ93" i="1"/>
  <c r="BG93" i="1"/>
  <c r="BF93" i="1"/>
  <c r="BE93" i="1"/>
  <c r="BD93" i="1"/>
  <c r="BC93" i="1"/>
  <c r="BB93" i="1"/>
  <c r="BA93" i="1"/>
  <c r="AZ93" i="1"/>
  <c r="AY93" i="1"/>
  <c r="AX93" i="1"/>
  <c r="BS92" i="1"/>
  <c r="BR92" i="1"/>
  <c r="BQ92" i="1"/>
  <c r="BP92" i="1"/>
  <c r="BO92" i="1"/>
  <c r="BN92" i="1"/>
  <c r="BM92" i="1"/>
  <c r="BL92" i="1"/>
  <c r="BK92" i="1"/>
  <c r="BJ92" i="1"/>
  <c r="BG92" i="1"/>
  <c r="BF92" i="1"/>
  <c r="BE92" i="1"/>
  <c r="BD92" i="1"/>
  <c r="BC92" i="1"/>
  <c r="BB92" i="1"/>
  <c r="BA92" i="1"/>
  <c r="AZ92" i="1"/>
  <c r="AY92" i="1"/>
  <c r="AX92" i="1"/>
  <c r="BS91" i="1"/>
  <c r="BR91" i="1"/>
  <c r="BQ91" i="1"/>
  <c r="BP91" i="1"/>
  <c r="BO91" i="1"/>
  <c r="BN91" i="1"/>
  <c r="BM91" i="1"/>
  <c r="BL91" i="1"/>
  <c r="BK91" i="1"/>
  <c r="BJ91" i="1"/>
  <c r="BG91" i="1"/>
  <c r="BF91" i="1"/>
  <c r="BE91" i="1"/>
  <c r="BD91" i="1"/>
  <c r="BC91" i="1"/>
  <c r="BB91" i="1"/>
  <c r="BA91" i="1"/>
  <c r="AZ91" i="1"/>
  <c r="AY91" i="1"/>
  <c r="AX91" i="1"/>
  <c r="BS90" i="1"/>
  <c r="BR90" i="1"/>
  <c r="BQ90" i="1"/>
  <c r="BP90" i="1"/>
  <c r="BO90" i="1"/>
  <c r="BN90" i="1"/>
  <c r="BM90" i="1"/>
  <c r="BL90" i="1"/>
  <c r="BK90" i="1"/>
  <c r="BJ90" i="1"/>
  <c r="BG90" i="1"/>
  <c r="BF90" i="1"/>
  <c r="BE90" i="1"/>
  <c r="BD90" i="1"/>
  <c r="BC90" i="1"/>
  <c r="BB90" i="1"/>
  <c r="BA90" i="1"/>
  <c r="AZ90" i="1"/>
  <c r="AY90" i="1"/>
  <c r="AX90" i="1"/>
  <c r="BS89" i="1"/>
  <c r="BR89" i="1"/>
  <c r="BQ89" i="1"/>
  <c r="BP89" i="1"/>
  <c r="BO89" i="1"/>
  <c r="BN89" i="1"/>
  <c r="BM89" i="1"/>
  <c r="BL89" i="1"/>
  <c r="BK89" i="1"/>
  <c r="BJ89" i="1"/>
  <c r="BG89" i="1"/>
  <c r="BF89" i="1"/>
  <c r="BE89" i="1"/>
  <c r="BD89" i="1"/>
  <c r="BC89" i="1"/>
  <c r="BB89" i="1"/>
  <c r="BA89" i="1"/>
  <c r="AZ89" i="1"/>
  <c r="AY89" i="1"/>
  <c r="AX89" i="1"/>
  <c r="BS88" i="1"/>
  <c r="BR88" i="1"/>
  <c r="BQ88" i="1"/>
  <c r="BP88" i="1"/>
  <c r="BO88" i="1"/>
  <c r="BN88" i="1"/>
  <c r="BM88" i="1"/>
  <c r="BL88" i="1"/>
  <c r="BK88" i="1"/>
  <c r="BJ88" i="1"/>
  <c r="BG88" i="1"/>
  <c r="BF88" i="1"/>
  <c r="BE88" i="1"/>
  <c r="BD88" i="1"/>
  <c r="BC88" i="1"/>
  <c r="BB88" i="1"/>
  <c r="BA88" i="1"/>
  <c r="AZ88" i="1"/>
  <c r="AY88" i="1"/>
  <c r="AX88" i="1"/>
  <c r="BS87" i="1"/>
  <c r="BR87" i="1"/>
  <c r="BQ87" i="1"/>
  <c r="BP87" i="1"/>
  <c r="BO87" i="1"/>
  <c r="BN87" i="1"/>
  <c r="BM87" i="1"/>
  <c r="BL87" i="1"/>
  <c r="BK87" i="1"/>
  <c r="BJ87" i="1"/>
  <c r="BG87" i="1"/>
  <c r="BF87" i="1"/>
  <c r="BE87" i="1"/>
  <c r="BD87" i="1"/>
  <c r="BC87" i="1"/>
  <c r="BB87" i="1"/>
  <c r="BA87" i="1"/>
  <c r="AZ87" i="1"/>
  <c r="AY87" i="1"/>
  <c r="AX87" i="1"/>
  <c r="BS86" i="1"/>
  <c r="BR86" i="1"/>
  <c r="BQ86" i="1"/>
  <c r="BP86" i="1"/>
  <c r="BO86" i="1"/>
  <c r="BN86" i="1"/>
  <c r="BM86" i="1"/>
  <c r="BL86" i="1"/>
  <c r="BK86" i="1"/>
  <c r="BJ86" i="1"/>
  <c r="BG86" i="1"/>
  <c r="BF86" i="1"/>
  <c r="BE86" i="1"/>
  <c r="BD86" i="1"/>
  <c r="BC86" i="1"/>
  <c r="BB86" i="1"/>
  <c r="BA86" i="1"/>
  <c r="AZ86" i="1"/>
  <c r="AY86" i="1"/>
  <c r="AX86" i="1"/>
  <c r="BS85" i="1"/>
  <c r="BR85" i="1"/>
  <c r="BQ85" i="1"/>
  <c r="BP85" i="1"/>
  <c r="BO85" i="1"/>
  <c r="BN85" i="1"/>
  <c r="BM85" i="1"/>
  <c r="BL85" i="1"/>
  <c r="BK85" i="1"/>
  <c r="BJ85" i="1"/>
  <c r="BG85" i="1"/>
  <c r="BF85" i="1"/>
  <c r="BE85" i="1"/>
  <c r="BD85" i="1"/>
  <c r="BC85" i="1"/>
  <c r="BB85" i="1"/>
  <c r="BA85" i="1"/>
  <c r="AZ85" i="1"/>
  <c r="AY85" i="1"/>
  <c r="AX85" i="1"/>
  <c r="BS84" i="1"/>
  <c r="BR84" i="1"/>
  <c r="BQ84" i="1"/>
  <c r="BP84" i="1"/>
  <c r="BO84" i="1"/>
  <c r="BN84" i="1"/>
  <c r="BM84" i="1"/>
  <c r="BL84" i="1"/>
  <c r="BK84" i="1"/>
  <c r="BJ84" i="1"/>
  <c r="BG84" i="1"/>
  <c r="BF84" i="1"/>
  <c r="BE84" i="1"/>
  <c r="BD84" i="1"/>
  <c r="BC84" i="1"/>
  <c r="BB84" i="1"/>
  <c r="BA84" i="1"/>
  <c r="AZ84" i="1"/>
  <c r="AY84" i="1"/>
  <c r="AX84" i="1"/>
  <c r="BS83" i="1"/>
  <c r="BR83" i="1"/>
  <c r="BQ83" i="1"/>
  <c r="BP83" i="1"/>
  <c r="BO83" i="1"/>
  <c r="BN83" i="1"/>
  <c r="BM83" i="1"/>
  <c r="BL83" i="1"/>
  <c r="BK83" i="1"/>
  <c r="BJ83" i="1"/>
  <c r="BG83" i="1"/>
  <c r="BF83" i="1"/>
  <c r="BE83" i="1"/>
  <c r="BD83" i="1"/>
  <c r="BC83" i="1"/>
  <c r="BB83" i="1"/>
  <c r="BA83" i="1"/>
  <c r="AZ83" i="1"/>
  <c r="AY83" i="1"/>
  <c r="AX83" i="1"/>
  <c r="BS82" i="1"/>
  <c r="BR82" i="1"/>
  <c r="BQ82" i="1"/>
  <c r="BP82" i="1"/>
  <c r="BO82" i="1"/>
  <c r="BN82" i="1"/>
  <c r="BM82" i="1"/>
  <c r="BL82" i="1"/>
  <c r="BK82" i="1"/>
  <c r="BJ82" i="1"/>
  <c r="BG82" i="1"/>
  <c r="BF82" i="1"/>
  <c r="BE82" i="1"/>
  <c r="BD82" i="1"/>
  <c r="BC82" i="1"/>
  <c r="BB82" i="1"/>
  <c r="BA82" i="1"/>
  <c r="AZ82" i="1"/>
  <c r="AY82" i="1"/>
  <c r="AX82" i="1"/>
  <c r="BS81" i="1"/>
  <c r="BR81" i="1"/>
  <c r="BQ81" i="1"/>
  <c r="BP81" i="1"/>
  <c r="BO81" i="1"/>
  <c r="BN81" i="1"/>
  <c r="BM81" i="1"/>
  <c r="BL81" i="1"/>
  <c r="BK81" i="1"/>
  <c r="BJ81" i="1"/>
  <c r="BG81" i="1"/>
  <c r="BF81" i="1"/>
  <c r="BE81" i="1"/>
  <c r="BD81" i="1"/>
  <c r="BC81" i="1"/>
  <c r="BB81" i="1"/>
  <c r="BA81" i="1"/>
  <c r="AZ81" i="1"/>
  <c r="AY81" i="1"/>
  <c r="AX81" i="1"/>
  <c r="BS80" i="1"/>
  <c r="BR80" i="1"/>
  <c r="BQ80" i="1"/>
  <c r="BP80" i="1"/>
  <c r="BO80" i="1"/>
  <c r="BN80" i="1"/>
  <c r="BM80" i="1"/>
  <c r="BL80" i="1"/>
  <c r="BK80" i="1"/>
  <c r="BJ80" i="1"/>
  <c r="BG80" i="1"/>
  <c r="BF80" i="1"/>
  <c r="BE80" i="1"/>
  <c r="BD80" i="1"/>
  <c r="BC80" i="1"/>
  <c r="BB80" i="1"/>
  <c r="BA80" i="1"/>
  <c r="AZ80" i="1"/>
  <c r="AY80" i="1"/>
  <c r="AX80" i="1"/>
  <c r="BS79" i="1"/>
  <c r="BR79" i="1"/>
  <c r="BQ79" i="1"/>
  <c r="BP79" i="1"/>
  <c r="BO79" i="1"/>
  <c r="BN79" i="1"/>
  <c r="BM79" i="1"/>
  <c r="BL79" i="1"/>
  <c r="BK79" i="1"/>
  <c r="BJ79" i="1"/>
  <c r="BG79" i="1"/>
  <c r="BF79" i="1"/>
  <c r="BE79" i="1"/>
  <c r="BD79" i="1"/>
  <c r="BC79" i="1"/>
  <c r="BB79" i="1"/>
  <c r="BA79" i="1"/>
  <c r="AZ79" i="1"/>
  <c r="AY79" i="1"/>
  <c r="AX79" i="1"/>
  <c r="BS78" i="1"/>
  <c r="BR78" i="1"/>
  <c r="BQ78" i="1"/>
  <c r="BP78" i="1"/>
  <c r="BO78" i="1"/>
  <c r="BN78" i="1"/>
  <c r="BM78" i="1"/>
  <c r="BL78" i="1"/>
  <c r="BK78" i="1"/>
  <c r="BJ78" i="1"/>
  <c r="BG78" i="1"/>
  <c r="BF78" i="1"/>
  <c r="BE78" i="1"/>
  <c r="BD78" i="1"/>
  <c r="BC78" i="1"/>
  <c r="BB78" i="1"/>
  <c r="BA78" i="1"/>
  <c r="AZ78" i="1"/>
  <c r="AY78" i="1"/>
  <c r="AX78" i="1"/>
  <c r="BS77" i="1"/>
  <c r="BR77" i="1"/>
  <c r="BQ77" i="1"/>
  <c r="BP77" i="1"/>
  <c r="BO77" i="1"/>
  <c r="BN77" i="1"/>
  <c r="BM77" i="1"/>
  <c r="BL77" i="1"/>
  <c r="BK77" i="1"/>
  <c r="BJ77" i="1"/>
  <c r="BG77" i="1"/>
  <c r="BF77" i="1"/>
  <c r="BE77" i="1"/>
  <c r="BD77" i="1"/>
  <c r="BC77" i="1"/>
  <c r="BB77" i="1"/>
  <c r="BA77" i="1"/>
  <c r="AZ77" i="1"/>
  <c r="AY77" i="1"/>
  <c r="AX77" i="1"/>
  <c r="BS76" i="1"/>
  <c r="BR76" i="1"/>
  <c r="BQ76" i="1"/>
  <c r="BP76" i="1"/>
  <c r="BO76" i="1"/>
  <c r="BN76" i="1"/>
  <c r="BM76" i="1"/>
  <c r="BL76" i="1"/>
  <c r="BK76" i="1"/>
  <c r="BJ76" i="1"/>
  <c r="BG76" i="1"/>
  <c r="BF76" i="1"/>
  <c r="BE76" i="1"/>
  <c r="BD76" i="1"/>
  <c r="BC76" i="1"/>
  <c r="BB76" i="1"/>
  <c r="BA76" i="1"/>
  <c r="AZ76" i="1"/>
  <c r="AY76" i="1"/>
  <c r="AX76" i="1"/>
  <c r="BS75" i="1"/>
  <c r="BR75" i="1"/>
  <c r="BQ75" i="1"/>
  <c r="BP75" i="1"/>
  <c r="BO75" i="1"/>
  <c r="BN75" i="1"/>
  <c r="BM75" i="1"/>
  <c r="BL75" i="1"/>
  <c r="BK75" i="1"/>
  <c r="BJ75" i="1"/>
  <c r="BG75" i="1"/>
  <c r="BF75" i="1"/>
  <c r="BE75" i="1"/>
  <c r="BD75" i="1"/>
  <c r="BC75" i="1"/>
  <c r="BB75" i="1"/>
  <c r="BA75" i="1"/>
  <c r="AZ75" i="1"/>
  <c r="AY75" i="1"/>
  <c r="AX75" i="1"/>
  <c r="BS74" i="1"/>
  <c r="BR74" i="1"/>
  <c r="BQ74" i="1"/>
  <c r="BP74" i="1"/>
  <c r="BO74" i="1"/>
  <c r="BN74" i="1"/>
  <c r="BM74" i="1"/>
  <c r="BL74" i="1"/>
  <c r="BK74" i="1"/>
  <c r="BJ74" i="1"/>
  <c r="BG74" i="1"/>
  <c r="BF74" i="1"/>
  <c r="BE74" i="1"/>
  <c r="BD74" i="1"/>
  <c r="BC74" i="1"/>
  <c r="BB74" i="1"/>
  <c r="BA74" i="1"/>
  <c r="AZ74" i="1"/>
  <c r="AY74" i="1"/>
  <c r="AX74" i="1"/>
  <c r="BS73" i="1"/>
  <c r="BR73" i="1"/>
  <c r="BQ73" i="1"/>
  <c r="BP73" i="1"/>
  <c r="BO73" i="1"/>
  <c r="BN73" i="1"/>
  <c r="BM73" i="1"/>
  <c r="BL73" i="1"/>
  <c r="BK73" i="1"/>
  <c r="BJ73" i="1"/>
  <c r="BG73" i="1"/>
  <c r="BF73" i="1"/>
  <c r="BE73" i="1"/>
  <c r="BD73" i="1"/>
  <c r="BC73" i="1"/>
  <c r="BB73" i="1"/>
  <c r="BA73" i="1"/>
  <c r="AZ73" i="1"/>
  <c r="AY73" i="1"/>
  <c r="AX73" i="1"/>
  <c r="BS72" i="1"/>
  <c r="BR72" i="1"/>
  <c r="BQ72" i="1"/>
  <c r="BP72" i="1"/>
  <c r="BO72" i="1"/>
  <c r="BN72" i="1"/>
  <c r="BM72" i="1"/>
  <c r="BL72" i="1"/>
  <c r="BK72" i="1"/>
  <c r="BJ72" i="1"/>
  <c r="BG72" i="1"/>
  <c r="BF72" i="1"/>
  <c r="BE72" i="1"/>
  <c r="BD72" i="1"/>
  <c r="BC72" i="1"/>
  <c r="BB72" i="1"/>
  <c r="BA72" i="1"/>
  <c r="AZ72" i="1"/>
  <c r="AY72" i="1"/>
  <c r="AX72" i="1"/>
  <c r="BS71" i="1"/>
  <c r="BR71" i="1"/>
  <c r="BQ71" i="1"/>
  <c r="BP71" i="1"/>
  <c r="BO71" i="1"/>
  <c r="BN71" i="1"/>
  <c r="BM71" i="1"/>
  <c r="BL71" i="1"/>
  <c r="BK71" i="1"/>
  <c r="BJ71" i="1"/>
  <c r="BG71" i="1"/>
  <c r="BF71" i="1"/>
  <c r="BE71" i="1"/>
  <c r="BD71" i="1"/>
  <c r="BC71" i="1"/>
  <c r="BB71" i="1"/>
  <c r="BA71" i="1"/>
  <c r="AZ71" i="1"/>
  <c r="AY71" i="1"/>
  <c r="AX71" i="1"/>
  <c r="BS70" i="1"/>
  <c r="BR70" i="1"/>
  <c r="BQ70" i="1"/>
  <c r="BP70" i="1"/>
  <c r="BO70" i="1"/>
  <c r="BN70" i="1"/>
  <c r="BM70" i="1"/>
  <c r="BL70" i="1"/>
  <c r="BK70" i="1"/>
  <c r="BJ70" i="1"/>
  <c r="BG70" i="1"/>
  <c r="BF70" i="1"/>
  <c r="BE70" i="1"/>
  <c r="BD70" i="1"/>
  <c r="BC70" i="1"/>
  <c r="BB70" i="1"/>
  <c r="BA70" i="1"/>
  <c r="AZ70" i="1"/>
  <c r="AY70" i="1"/>
  <c r="AX70" i="1"/>
  <c r="BS69" i="1"/>
  <c r="BR69" i="1"/>
  <c r="BQ69" i="1"/>
  <c r="BP69" i="1"/>
  <c r="BO69" i="1"/>
  <c r="BN69" i="1"/>
  <c r="BM69" i="1"/>
  <c r="BL69" i="1"/>
  <c r="BK69" i="1"/>
  <c r="BJ69" i="1"/>
  <c r="BG69" i="1"/>
  <c r="BF69" i="1"/>
  <c r="BE69" i="1"/>
  <c r="BD69" i="1"/>
  <c r="BC69" i="1"/>
  <c r="BB69" i="1"/>
  <c r="BA69" i="1"/>
  <c r="AZ69" i="1"/>
  <c r="AY69" i="1"/>
  <c r="AX69" i="1"/>
  <c r="BS68" i="1"/>
  <c r="BR68" i="1"/>
  <c r="BQ68" i="1"/>
  <c r="BP68" i="1"/>
  <c r="BO68" i="1"/>
  <c r="BN68" i="1"/>
  <c r="BM68" i="1"/>
  <c r="BL68" i="1"/>
  <c r="BK68" i="1"/>
  <c r="BJ68" i="1"/>
  <c r="BG68" i="1"/>
  <c r="BF68" i="1"/>
  <c r="BE68" i="1"/>
  <c r="BD68" i="1"/>
  <c r="BC68" i="1"/>
  <c r="BB68" i="1"/>
  <c r="BA68" i="1"/>
  <c r="AZ68" i="1"/>
  <c r="AY68" i="1"/>
  <c r="AX68" i="1"/>
  <c r="BS67" i="1"/>
  <c r="BR67" i="1"/>
  <c r="BQ67" i="1"/>
  <c r="BP67" i="1"/>
  <c r="BO67" i="1"/>
  <c r="BN67" i="1"/>
  <c r="BM67" i="1"/>
  <c r="BL67" i="1"/>
  <c r="BK67" i="1"/>
  <c r="BJ67" i="1"/>
  <c r="BG67" i="1"/>
  <c r="BF67" i="1"/>
  <c r="BE67" i="1"/>
  <c r="BD67" i="1"/>
  <c r="BC67" i="1"/>
  <c r="BB67" i="1"/>
  <c r="BA67" i="1"/>
  <c r="AZ67" i="1"/>
  <c r="AY67" i="1"/>
  <c r="AX67" i="1"/>
  <c r="BS66" i="1"/>
  <c r="BR66" i="1"/>
  <c r="BQ66" i="1"/>
  <c r="BP66" i="1"/>
  <c r="BO66" i="1"/>
  <c r="BN66" i="1"/>
  <c r="BM66" i="1"/>
  <c r="BL66" i="1"/>
  <c r="BK66" i="1"/>
  <c r="BJ66" i="1"/>
  <c r="BG66" i="1"/>
  <c r="BF66" i="1"/>
  <c r="BE66" i="1"/>
  <c r="BD66" i="1"/>
  <c r="BC66" i="1"/>
  <c r="BB66" i="1"/>
  <c r="BA66" i="1"/>
  <c r="AZ66" i="1"/>
  <c r="AY66" i="1"/>
  <c r="AX66" i="1"/>
  <c r="BS65" i="1"/>
  <c r="BR65" i="1"/>
  <c r="BQ65" i="1"/>
  <c r="BP65" i="1"/>
  <c r="BO65" i="1"/>
  <c r="BN65" i="1"/>
  <c r="BM65" i="1"/>
  <c r="BL65" i="1"/>
  <c r="BK65" i="1"/>
  <c r="BJ65" i="1"/>
  <c r="BG65" i="1"/>
  <c r="BF65" i="1"/>
  <c r="BE65" i="1"/>
  <c r="BD65" i="1"/>
  <c r="BC65" i="1"/>
  <c r="BB65" i="1"/>
  <c r="BA65" i="1"/>
  <c r="AZ65" i="1"/>
  <c r="AY65" i="1"/>
  <c r="AX65" i="1"/>
  <c r="BS64" i="1"/>
  <c r="BR64" i="1"/>
  <c r="BQ64" i="1"/>
  <c r="BP64" i="1"/>
  <c r="BO64" i="1"/>
  <c r="BN64" i="1"/>
  <c r="BM64" i="1"/>
  <c r="BL64" i="1"/>
  <c r="BK64" i="1"/>
  <c r="BJ64" i="1"/>
  <c r="BG64" i="1"/>
  <c r="BF64" i="1"/>
  <c r="BE64" i="1"/>
  <c r="BD64" i="1"/>
  <c r="BC64" i="1"/>
  <c r="BB64" i="1"/>
  <c r="BA64" i="1"/>
  <c r="AZ64" i="1"/>
  <c r="AY64" i="1"/>
  <c r="AX64" i="1"/>
  <c r="BS63" i="1"/>
  <c r="BR63" i="1"/>
  <c r="BQ63" i="1"/>
  <c r="BP63" i="1"/>
  <c r="BO63" i="1"/>
  <c r="BN63" i="1"/>
  <c r="BM63" i="1"/>
  <c r="BL63" i="1"/>
  <c r="BK63" i="1"/>
  <c r="BJ63" i="1"/>
  <c r="BG63" i="1"/>
  <c r="BF63" i="1"/>
  <c r="BE63" i="1"/>
  <c r="BD63" i="1"/>
  <c r="BC63" i="1"/>
  <c r="BB63" i="1"/>
  <c r="BA63" i="1"/>
  <c r="AZ63" i="1"/>
  <c r="AY63" i="1"/>
  <c r="AX63" i="1"/>
  <c r="BS62" i="1"/>
  <c r="BR62" i="1"/>
  <c r="BQ62" i="1"/>
  <c r="BP62" i="1"/>
  <c r="BO62" i="1"/>
  <c r="BN62" i="1"/>
  <c r="BM62" i="1"/>
  <c r="BL62" i="1"/>
  <c r="BK62" i="1"/>
  <c r="BJ62" i="1"/>
  <c r="BG62" i="1"/>
  <c r="BF62" i="1"/>
  <c r="BE62" i="1"/>
  <c r="BD62" i="1"/>
  <c r="BC62" i="1"/>
  <c r="BB62" i="1"/>
  <c r="BA62" i="1"/>
  <c r="AZ62" i="1"/>
  <c r="AY62" i="1"/>
  <c r="AX62" i="1"/>
  <c r="BS61" i="1"/>
  <c r="BR61" i="1"/>
  <c r="BQ61" i="1"/>
  <c r="BP61" i="1"/>
  <c r="BO61" i="1"/>
  <c r="BN61" i="1"/>
  <c r="BM61" i="1"/>
  <c r="BL61" i="1"/>
  <c r="BK61" i="1"/>
  <c r="BJ61" i="1"/>
  <c r="BG61" i="1"/>
  <c r="BF61" i="1"/>
  <c r="BE61" i="1"/>
  <c r="BD61" i="1"/>
  <c r="BC61" i="1"/>
  <c r="BB61" i="1"/>
  <c r="BA61" i="1"/>
  <c r="AZ61" i="1"/>
  <c r="AY61" i="1"/>
  <c r="AX61" i="1"/>
  <c r="BS60" i="1"/>
  <c r="BR60" i="1"/>
  <c r="BQ60" i="1"/>
  <c r="BP60" i="1"/>
  <c r="BO60" i="1"/>
  <c r="BN60" i="1"/>
  <c r="BM60" i="1"/>
  <c r="BL60" i="1"/>
  <c r="BK60" i="1"/>
  <c r="BJ60" i="1"/>
  <c r="BG60" i="1"/>
  <c r="BF60" i="1"/>
  <c r="BE60" i="1"/>
  <c r="BD60" i="1"/>
  <c r="BC60" i="1"/>
  <c r="BB60" i="1"/>
  <c r="BA60" i="1"/>
  <c r="AZ60" i="1"/>
  <c r="AY60" i="1"/>
  <c r="AX60" i="1"/>
  <c r="BS59" i="1"/>
  <c r="BR59" i="1"/>
  <c r="BQ59" i="1"/>
  <c r="BP59" i="1"/>
  <c r="BO59" i="1"/>
  <c r="BN59" i="1"/>
  <c r="BM59" i="1"/>
  <c r="BL59" i="1"/>
  <c r="BK59" i="1"/>
  <c r="BJ59" i="1"/>
  <c r="BG59" i="1"/>
  <c r="BF59" i="1"/>
  <c r="BE59" i="1"/>
  <c r="BD59" i="1"/>
  <c r="BC59" i="1"/>
  <c r="BB59" i="1"/>
  <c r="BA59" i="1"/>
  <c r="AZ59" i="1"/>
  <c r="AY59" i="1"/>
  <c r="AX59" i="1"/>
  <c r="BS58" i="1"/>
  <c r="BR58" i="1"/>
  <c r="BQ58" i="1"/>
  <c r="BP58" i="1"/>
  <c r="BO58" i="1"/>
  <c r="BN58" i="1"/>
  <c r="BM58" i="1"/>
  <c r="BL58" i="1"/>
  <c r="BK58" i="1"/>
  <c r="BJ58" i="1"/>
  <c r="BG58" i="1"/>
  <c r="BF58" i="1"/>
  <c r="BE58" i="1"/>
  <c r="BD58" i="1"/>
  <c r="BC58" i="1"/>
  <c r="BB58" i="1"/>
  <c r="BA58" i="1"/>
  <c r="AZ58" i="1"/>
  <c r="AY58" i="1"/>
  <c r="AX58" i="1"/>
  <c r="BS57" i="1"/>
  <c r="BR57" i="1"/>
  <c r="BQ57" i="1"/>
  <c r="BP57" i="1"/>
  <c r="BO57" i="1"/>
  <c r="BN57" i="1"/>
  <c r="BM57" i="1"/>
  <c r="BL57" i="1"/>
  <c r="BK57" i="1"/>
  <c r="BJ57" i="1"/>
  <c r="BG57" i="1"/>
  <c r="BF57" i="1"/>
  <c r="BE57" i="1"/>
  <c r="BD57" i="1"/>
  <c r="BC57" i="1"/>
  <c r="BB57" i="1"/>
  <c r="BA57" i="1"/>
  <c r="AZ57" i="1"/>
  <c r="AY57" i="1"/>
  <c r="AX57" i="1"/>
  <c r="BS56" i="1"/>
  <c r="BR56" i="1"/>
  <c r="BQ56" i="1"/>
  <c r="BP56" i="1"/>
  <c r="BO56" i="1"/>
  <c r="BN56" i="1"/>
  <c r="BM56" i="1"/>
  <c r="BL56" i="1"/>
  <c r="BK56" i="1"/>
  <c r="BJ56" i="1"/>
  <c r="BG56" i="1"/>
  <c r="BF56" i="1"/>
  <c r="BE56" i="1"/>
  <c r="BD56" i="1"/>
  <c r="BC56" i="1"/>
  <c r="BB56" i="1"/>
  <c r="BA56" i="1"/>
  <c r="AZ56" i="1"/>
  <c r="AY56" i="1"/>
  <c r="AX56" i="1"/>
  <c r="BS55" i="1"/>
  <c r="BR55" i="1"/>
  <c r="BQ55" i="1"/>
  <c r="BP55" i="1"/>
  <c r="BO55" i="1"/>
  <c r="BN55" i="1"/>
  <c r="BM55" i="1"/>
  <c r="BL55" i="1"/>
  <c r="BK55" i="1"/>
  <c r="BJ55" i="1"/>
  <c r="BG55" i="1"/>
  <c r="BF55" i="1"/>
  <c r="BE55" i="1"/>
  <c r="BD55" i="1"/>
  <c r="BC55" i="1"/>
  <c r="BB55" i="1"/>
  <c r="BA55" i="1"/>
  <c r="AZ55" i="1"/>
  <c r="AY55" i="1"/>
  <c r="AX55" i="1"/>
  <c r="BS54" i="1"/>
  <c r="BR54" i="1"/>
  <c r="BQ54" i="1"/>
  <c r="BP54" i="1"/>
  <c r="BO54" i="1"/>
  <c r="BN54" i="1"/>
  <c r="BM54" i="1"/>
  <c r="BL54" i="1"/>
  <c r="BK54" i="1"/>
  <c r="BJ54" i="1"/>
  <c r="BG54" i="1"/>
  <c r="BF54" i="1"/>
  <c r="BE54" i="1"/>
  <c r="BD54" i="1"/>
  <c r="BC54" i="1"/>
  <c r="BB54" i="1"/>
  <c r="BA54" i="1"/>
  <c r="AZ54" i="1"/>
  <c r="AY54" i="1"/>
  <c r="AX54" i="1"/>
  <c r="BS53" i="1"/>
  <c r="BR53" i="1"/>
  <c r="BQ53" i="1"/>
  <c r="BP53" i="1"/>
  <c r="BO53" i="1"/>
  <c r="BN53" i="1"/>
  <c r="BM53" i="1"/>
  <c r="BL53" i="1"/>
  <c r="BK53" i="1"/>
  <c r="BJ53" i="1"/>
  <c r="BG53" i="1"/>
  <c r="BF53" i="1"/>
  <c r="BE53" i="1"/>
  <c r="BD53" i="1"/>
  <c r="BC53" i="1"/>
  <c r="BB53" i="1"/>
  <c r="BA53" i="1"/>
  <c r="AZ53" i="1"/>
  <c r="AY53" i="1"/>
  <c r="AX53" i="1"/>
  <c r="BS52" i="1"/>
  <c r="BR52" i="1"/>
  <c r="BQ52" i="1"/>
  <c r="BP52" i="1"/>
  <c r="BO52" i="1"/>
  <c r="BN52" i="1"/>
  <c r="BM52" i="1"/>
  <c r="BL52" i="1"/>
  <c r="BK52" i="1"/>
  <c r="BJ52" i="1"/>
  <c r="BG52" i="1"/>
  <c r="BF52" i="1"/>
  <c r="BE52" i="1"/>
  <c r="BD52" i="1"/>
  <c r="BC52" i="1"/>
  <c r="BB52" i="1"/>
  <c r="BA52" i="1"/>
  <c r="AZ52" i="1"/>
  <c r="AY52" i="1"/>
  <c r="AX52" i="1"/>
  <c r="BS51" i="1"/>
  <c r="BR51" i="1"/>
  <c r="BQ51" i="1"/>
  <c r="BP51" i="1"/>
  <c r="BO51" i="1"/>
  <c r="BN51" i="1"/>
  <c r="BM51" i="1"/>
  <c r="BL51" i="1"/>
  <c r="BK51" i="1"/>
  <c r="BJ51" i="1"/>
  <c r="BG51" i="1"/>
  <c r="BF51" i="1"/>
  <c r="BE51" i="1"/>
  <c r="BD51" i="1"/>
  <c r="BC51" i="1"/>
  <c r="BB51" i="1"/>
  <c r="BA51" i="1"/>
  <c r="AZ51" i="1"/>
  <c r="AY51" i="1"/>
  <c r="AX51" i="1"/>
  <c r="BS50" i="1"/>
  <c r="BR50" i="1"/>
  <c r="BQ50" i="1"/>
  <c r="BP50" i="1"/>
  <c r="BO50" i="1"/>
  <c r="BN50" i="1"/>
  <c r="BM50" i="1"/>
  <c r="BL50" i="1"/>
  <c r="BK50" i="1"/>
  <c r="BJ50" i="1"/>
  <c r="BG50" i="1"/>
  <c r="BF50" i="1"/>
  <c r="BE50" i="1"/>
  <c r="BD50" i="1"/>
  <c r="BC50" i="1"/>
  <c r="BB50" i="1"/>
  <c r="BA50" i="1"/>
  <c r="AZ50" i="1"/>
  <c r="AY50" i="1"/>
  <c r="AX50" i="1"/>
  <c r="BS49" i="1"/>
  <c r="BR49" i="1"/>
  <c r="BQ49" i="1"/>
  <c r="BP49" i="1"/>
  <c r="BO49" i="1"/>
  <c r="BN49" i="1"/>
  <c r="BM49" i="1"/>
  <c r="BL49" i="1"/>
  <c r="BK49" i="1"/>
  <c r="BJ49" i="1"/>
  <c r="BG49" i="1"/>
  <c r="BF49" i="1"/>
  <c r="BE49" i="1"/>
  <c r="BD49" i="1"/>
  <c r="BC49" i="1"/>
  <c r="BB49" i="1"/>
  <c r="BA49" i="1"/>
  <c r="AZ49" i="1"/>
  <c r="AY49" i="1"/>
  <c r="AX49" i="1"/>
  <c r="BS48" i="1"/>
  <c r="BR48" i="1"/>
  <c r="BQ48" i="1"/>
  <c r="BP48" i="1"/>
  <c r="BO48" i="1"/>
  <c r="BN48" i="1"/>
  <c r="BM48" i="1"/>
  <c r="BL48" i="1"/>
  <c r="BK48" i="1"/>
  <c r="BJ48" i="1"/>
  <c r="BG48" i="1"/>
  <c r="BF48" i="1"/>
  <c r="BE48" i="1"/>
  <c r="BD48" i="1"/>
  <c r="BC48" i="1"/>
  <c r="BB48" i="1"/>
  <c r="BA48" i="1"/>
  <c r="AZ48" i="1"/>
  <c r="AY48" i="1"/>
  <c r="AX48" i="1"/>
  <c r="BS47" i="1"/>
  <c r="BR47" i="1"/>
  <c r="BQ47" i="1"/>
  <c r="BP47" i="1"/>
  <c r="BO47" i="1"/>
  <c r="BN47" i="1"/>
  <c r="BM47" i="1"/>
  <c r="BL47" i="1"/>
  <c r="BK47" i="1"/>
  <c r="BJ47" i="1"/>
  <c r="BG47" i="1"/>
  <c r="BF47" i="1"/>
  <c r="BE47" i="1"/>
  <c r="BD47" i="1"/>
  <c r="BC47" i="1"/>
  <c r="BB47" i="1"/>
  <c r="BA47" i="1"/>
  <c r="AZ47" i="1"/>
  <c r="AY47" i="1"/>
  <c r="AX47" i="1"/>
  <c r="BS46" i="1"/>
  <c r="BR46" i="1"/>
  <c r="BQ46" i="1"/>
  <c r="BP46" i="1"/>
  <c r="BO46" i="1"/>
  <c r="BN46" i="1"/>
  <c r="BM46" i="1"/>
  <c r="BL46" i="1"/>
  <c r="BK46" i="1"/>
  <c r="BJ46" i="1"/>
  <c r="BG46" i="1"/>
  <c r="BF46" i="1"/>
  <c r="BE46" i="1"/>
  <c r="BD46" i="1"/>
  <c r="BC46" i="1"/>
  <c r="BB46" i="1"/>
  <c r="BA46" i="1"/>
  <c r="AZ46" i="1"/>
  <c r="AY46" i="1"/>
  <c r="AX46" i="1"/>
  <c r="BS45" i="1"/>
  <c r="BR45" i="1"/>
  <c r="BQ45" i="1"/>
  <c r="BP45" i="1"/>
  <c r="BO45" i="1"/>
  <c r="BN45" i="1"/>
  <c r="BM45" i="1"/>
  <c r="BL45" i="1"/>
  <c r="BK45" i="1"/>
  <c r="BJ45" i="1"/>
  <c r="BG45" i="1"/>
  <c r="BF45" i="1"/>
  <c r="BE45" i="1"/>
  <c r="BD45" i="1"/>
  <c r="BC45" i="1"/>
  <c r="BB45" i="1"/>
  <c r="BA45" i="1"/>
  <c r="AZ45" i="1"/>
  <c r="AY45" i="1"/>
  <c r="AX45" i="1"/>
  <c r="BS44" i="1"/>
  <c r="BR44" i="1"/>
  <c r="BQ44" i="1"/>
  <c r="BP44" i="1"/>
  <c r="BO44" i="1"/>
  <c r="BN44" i="1"/>
  <c r="BM44" i="1"/>
  <c r="BL44" i="1"/>
  <c r="BK44" i="1"/>
  <c r="BJ44" i="1"/>
  <c r="BG44" i="1"/>
  <c r="BF44" i="1"/>
  <c r="BE44" i="1"/>
  <c r="BD44" i="1"/>
  <c r="BC44" i="1"/>
  <c r="BB44" i="1"/>
  <c r="BA44" i="1"/>
  <c r="AZ44" i="1"/>
  <c r="AY44" i="1"/>
  <c r="AX44" i="1"/>
  <c r="BS43" i="1"/>
  <c r="BR43" i="1"/>
  <c r="BQ43" i="1"/>
  <c r="BP43" i="1"/>
  <c r="BO43" i="1"/>
  <c r="BN43" i="1"/>
  <c r="BM43" i="1"/>
  <c r="BL43" i="1"/>
  <c r="BK43" i="1"/>
  <c r="BJ43" i="1"/>
  <c r="BG43" i="1"/>
  <c r="BF43" i="1"/>
  <c r="BE43" i="1"/>
  <c r="BD43" i="1"/>
  <c r="BC43" i="1"/>
  <c r="BB43" i="1"/>
  <c r="BA43" i="1"/>
  <c r="AZ43" i="1"/>
  <c r="AY43" i="1"/>
  <c r="AX43" i="1"/>
  <c r="BS42" i="1"/>
  <c r="BR42" i="1"/>
  <c r="BQ42" i="1"/>
  <c r="BP42" i="1"/>
  <c r="BO42" i="1"/>
  <c r="BN42" i="1"/>
  <c r="BM42" i="1"/>
  <c r="BL42" i="1"/>
  <c r="BK42" i="1"/>
  <c r="BJ42" i="1"/>
  <c r="BG42" i="1"/>
  <c r="BF42" i="1"/>
  <c r="BE42" i="1"/>
  <c r="BD42" i="1"/>
  <c r="BC42" i="1"/>
  <c r="BB42" i="1"/>
  <c r="BA42" i="1"/>
  <c r="AZ42" i="1"/>
  <c r="AY42" i="1"/>
  <c r="AX42" i="1"/>
  <c r="BS41" i="1"/>
  <c r="BR41" i="1"/>
  <c r="BQ41" i="1"/>
  <c r="BP41" i="1"/>
  <c r="BO41" i="1"/>
  <c r="BN41" i="1"/>
  <c r="BM41" i="1"/>
  <c r="BL41" i="1"/>
  <c r="BK41" i="1"/>
  <c r="BJ41" i="1"/>
  <c r="BG41" i="1"/>
  <c r="BF41" i="1"/>
  <c r="BE41" i="1"/>
  <c r="BD41" i="1"/>
  <c r="BC41" i="1"/>
  <c r="BB41" i="1"/>
  <c r="BA41" i="1"/>
  <c r="AZ41" i="1"/>
  <c r="AY41" i="1"/>
  <c r="AX41" i="1"/>
  <c r="BS40" i="1"/>
  <c r="BR40" i="1"/>
  <c r="BQ40" i="1"/>
  <c r="BP40" i="1"/>
  <c r="BO40" i="1"/>
  <c r="BN40" i="1"/>
  <c r="BM40" i="1"/>
  <c r="BL40" i="1"/>
  <c r="BK40" i="1"/>
  <c r="BJ40" i="1"/>
  <c r="BG40" i="1"/>
  <c r="BF40" i="1"/>
  <c r="BE40" i="1"/>
  <c r="BD40" i="1"/>
  <c r="BC40" i="1"/>
  <c r="BB40" i="1"/>
  <c r="BA40" i="1"/>
  <c r="AZ40" i="1"/>
  <c r="AY40" i="1"/>
  <c r="AX40" i="1"/>
  <c r="BS39" i="1"/>
  <c r="BR39" i="1"/>
  <c r="BQ39" i="1"/>
  <c r="BP39" i="1"/>
  <c r="BO39" i="1"/>
  <c r="BN39" i="1"/>
  <c r="BM39" i="1"/>
  <c r="BL39" i="1"/>
  <c r="BK39" i="1"/>
  <c r="BJ39" i="1"/>
  <c r="BG39" i="1"/>
  <c r="BF39" i="1"/>
  <c r="BE39" i="1"/>
  <c r="BD39" i="1"/>
  <c r="BC39" i="1"/>
  <c r="BB39" i="1"/>
  <c r="BA39" i="1"/>
  <c r="AZ39" i="1"/>
  <c r="AY39" i="1"/>
  <c r="AX39" i="1"/>
  <c r="BS38" i="1"/>
  <c r="BR38" i="1"/>
  <c r="BQ38" i="1"/>
  <c r="BP38" i="1"/>
  <c r="BO38" i="1"/>
  <c r="BN38" i="1"/>
  <c r="BM38" i="1"/>
  <c r="BL38" i="1"/>
  <c r="BK38" i="1"/>
  <c r="BJ38" i="1"/>
  <c r="BG38" i="1"/>
  <c r="BF38" i="1"/>
  <c r="BE38" i="1"/>
  <c r="BD38" i="1"/>
  <c r="BC38" i="1"/>
  <c r="BB38" i="1"/>
  <c r="BA38" i="1"/>
  <c r="AZ38" i="1"/>
  <c r="AY38" i="1"/>
  <c r="AX38" i="1"/>
  <c r="BS37" i="1"/>
  <c r="BR37" i="1"/>
  <c r="BQ37" i="1"/>
  <c r="BP37" i="1"/>
  <c r="BO37" i="1"/>
  <c r="BN37" i="1"/>
  <c r="BM37" i="1"/>
  <c r="BL37" i="1"/>
  <c r="BK37" i="1"/>
  <c r="BJ37" i="1"/>
  <c r="BG37" i="1"/>
  <c r="BF37" i="1"/>
  <c r="BE37" i="1"/>
  <c r="BD37" i="1"/>
  <c r="BC37" i="1"/>
  <c r="BB37" i="1"/>
  <c r="BA37" i="1"/>
  <c r="AZ37" i="1"/>
  <c r="AY37" i="1"/>
  <c r="AX37" i="1"/>
  <c r="BS36" i="1"/>
  <c r="BR36" i="1"/>
  <c r="BQ36" i="1"/>
  <c r="BP36" i="1"/>
  <c r="BO36" i="1"/>
  <c r="BN36" i="1"/>
  <c r="BM36" i="1"/>
  <c r="BL36" i="1"/>
  <c r="BK36" i="1"/>
  <c r="BJ36" i="1"/>
  <c r="BG36" i="1"/>
  <c r="BF36" i="1"/>
  <c r="BE36" i="1"/>
  <c r="BD36" i="1"/>
  <c r="BC36" i="1"/>
  <c r="BB36" i="1"/>
  <c r="BA36" i="1"/>
  <c r="AZ36" i="1"/>
  <c r="AY36" i="1"/>
  <c r="AX36" i="1"/>
  <c r="BS35" i="1"/>
  <c r="BR35" i="1"/>
  <c r="BQ35" i="1"/>
  <c r="BP35" i="1"/>
  <c r="BO35" i="1"/>
  <c r="BN35" i="1"/>
  <c r="BM35" i="1"/>
  <c r="BL35" i="1"/>
  <c r="BK35" i="1"/>
  <c r="BJ35" i="1"/>
  <c r="BG35" i="1"/>
  <c r="BF35" i="1"/>
  <c r="BE35" i="1"/>
  <c r="BD35" i="1"/>
  <c r="BC35" i="1"/>
  <c r="BB35" i="1"/>
  <c r="BA35" i="1"/>
  <c r="AZ35" i="1"/>
  <c r="AY35" i="1"/>
  <c r="AX35" i="1"/>
  <c r="BS34" i="1"/>
  <c r="BR34" i="1"/>
  <c r="BQ34" i="1"/>
  <c r="BP34" i="1"/>
  <c r="BO34" i="1"/>
  <c r="BN34" i="1"/>
  <c r="BM34" i="1"/>
  <c r="BL34" i="1"/>
  <c r="BK34" i="1"/>
  <c r="BJ34" i="1"/>
  <c r="BG34" i="1"/>
  <c r="BF34" i="1"/>
  <c r="BE34" i="1"/>
  <c r="BD34" i="1"/>
  <c r="BC34" i="1"/>
  <c r="BB34" i="1"/>
  <c r="BA34" i="1"/>
  <c r="AZ34" i="1"/>
  <c r="AY34" i="1"/>
  <c r="AX34" i="1"/>
  <c r="BS33" i="1"/>
  <c r="BR33" i="1"/>
  <c r="BQ33" i="1"/>
  <c r="BP33" i="1"/>
  <c r="BO33" i="1"/>
  <c r="BN33" i="1"/>
  <c r="BM33" i="1"/>
  <c r="BL33" i="1"/>
  <c r="BK33" i="1"/>
  <c r="BJ33" i="1"/>
  <c r="BG33" i="1"/>
  <c r="BF33" i="1"/>
  <c r="BE33" i="1"/>
  <c r="BD33" i="1"/>
  <c r="BC33" i="1"/>
  <c r="BB33" i="1"/>
  <c r="BA33" i="1"/>
  <c r="AZ33" i="1"/>
  <c r="AY33" i="1"/>
  <c r="AX33" i="1"/>
  <c r="BS32" i="1"/>
  <c r="BR32" i="1"/>
  <c r="BQ32" i="1"/>
  <c r="BP32" i="1"/>
  <c r="BO32" i="1"/>
  <c r="BN32" i="1"/>
  <c r="BM32" i="1"/>
  <c r="BL32" i="1"/>
  <c r="BK32" i="1"/>
  <c r="BJ32" i="1"/>
  <c r="BG32" i="1"/>
  <c r="BF32" i="1"/>
  <c r="BE32" i="1"/>
  <c r="BD32" i="1"/>
  <c r="BC32" i="1"/>
  <c r="BB32" i="1"/>
  <c r="BA32" i="1"/>
  <c r="AZ32" i="1"/>
  <c r="AY32" i="1"/>
  <c r="AX32" i="1"/>
  <c r="BS31" i="1"/>
  <c r="BR31" i="1"/>
  <c r="BQ31" i="1"/>
  <c r="BP31" i="1"/>
  <c r="BO31" i="1"/>
  <c r="BN31" i="1"/>
  <c r="BM31" i="1"/>
  <c r="BL31" i="1"/>
  <c r="BK31" i="1"/>
  <c r="BJ31" i="1"/>
  <c r="BG31" i="1"/>
  <c r="BF31" i="1"/>
  <c r="BE31" i="1"/>
  <c r="BD31" i="1"/>
  <c r="BC31" i="1"/>
  <c r="BB31" i="1"/>
  <c r="BA31" i="1"/>
  <c r="AZ31" i="1"/>
  <c r="AY31" i="1"/>
  <c r="AX31" i="1"/>
  <c r="BS30" i="1"/>
  <c r="BR30" i="1"/>
  <c r="BQ30" i="1"/>
  <c r="BP30" i="1"/>
  <c r="BO30" i="1"/>
  <c r="BN30" i="1"/>
  <c r="BM30" i="1"/>
  <c r="BL30" i="1"/>
  <c r="BK30" i="1"/>
  <c r="BJ30" i="1"/>
  <c r="BG30" i="1"/>
  <c r="BF30" i="1"/>
  <c r="BE30" i="1"/>
  <c r="BD30" i="1"/>
  <c r="BC30" i="1"/>
  <c r="BB30" i="1"/>
  <c r="BA30" i="1"/>
  <c r="AZ30" i="1"/>
  <c r="AY30" i="1"/>
  <c r="AX30" i="1"/>
  <c r="BS29" i="1"/>
  <c r="BR29" i="1"/>
  <c r="BQ29" i="1"/>
  <c r="BP29" i="1"/>
  <c r="BO29" i="1"/>
  <c r="BN29" i="1"/>
  <c r="BM29" i="1"/>
  <c r="BL29" i="1"/>
  <c r="BK29" i="1"/>
  <c r="BJ29" i="1"/>
  <c r="BG29" i="1"/>
  <c r="BF29" i="1"/>
  <c r="BE29" i="1"/>
  <c r="BD29" i="1"/>
  <c r="BC29" i="1"/>
  <c r="BB29" i="1"/>
  <c r="BA29" i="1"/>
  <c r="AZ29" i="1"/>
  <c r="AY29" i="1"/>
  <c r="AX29" i="1"/>
  <c r="BS28" i="1"/>
  <c r="BR28" i="1"/>
  <c r="BQ28" i="1"/>
  <c r="BP28" i="1"/>
  <c r="BO28" i="1"/>
  <c r="BN28" i="1"/>
  <c r="BM28" i="1"/>
  <c r="BL28" i="1"/>
  <c r="BK28" i="1"/>
  <c r="BJ28" i="1"/>
  <c r="BG28" i="1"/>
  <c r="BF28" i="1"/>
  <c r="BE28" i="1"/>
  <c r="BD28" i="1"/>
  <c r="BC28" i="1"/>
  <c r="BB28" i="1"/>
  <c r="BA28" i="1"/>
  <c r="AZ28" i="1"/>
  <c r="AY28" i="1"/>
  <c r="AX28" i="1"/>
  <c r="BS27" i="1"/>
  <c r="BR27" i="1"/>
  <c r="BQ27" i="1"/>
  <c r="BP27" i="1"/>
  <c r="BO27" i="1"/>
  <c r="BN27" i="1"/>
  <c r="BM27" i="1"/>
  <c r="BL27" i="1"/>
  <c r="BK27" i="1"/>
  <c r="BJ27" i="1"/>
  <c r="BG27" i="1"/>
  <c r="BF27" i="1"/>
  <c r="BE27" i="1"/>
  <c r="BD27" i="1"/>
  <c r="BC27" i="1"/>
  <c r="BB27" i="1"/>
  <c r="BA27" i="1"/>
  <c r="AZ27" i="1"/>
  <c r="AY27" i="1"/>
  <c r="AX27" i="1"/>
  <c r="BS26" i="1"/>
  <c r="BR26" i="1"/>
  <c r="BQ26" i="1"/>
  <c r="BP26" i="1"/>
  <c r="BO26" i="1"/>
  <c r="BN26" i="1"/>
  <c r="BM26" i="1"/>
  <c r="BL26" i="1"/>
  <c r="BK26" i="1"/>
  <c r="BJ26" i="1"/>
  <c r="BG26" i="1"/>
  <c r="BF26" i="1"/>
  <c r="BE26" i="1"/>
  <c r="BD26" i="1"/>
  <c r="BC26" i="1"/>
  <c r="BB26" i="1"/>
  <c r="BA26" i="1"/>
  <c r="AZ26" i="1"/>
  <c r="AY26" i="1"/>
  <c r="AX26" i="1"/>
  <c r="BS25" i="1"/>
  <c r="BR25" i="1"/>
  <c r="BQ25" i="1"/>
  <c r="BP25" i="1"/>
  <c r="BO25" i="1"/>
  <c r="BN25" i="1"/>
  <c r="BM25" i="1"/>
  <c r="BL25" i="1"/>
  <c r="BK25" i="1"/>
  <c r="BJ25" i="1"/>
  <c r="BG25" i="1"/>
  <c r="BF25" i="1"/>
  <c r="BE25" i="1"/>
  <c r="BD25" i="1"/>
  <c r="BC25" i="1"/>
  <c r="BB25" i="1"/>
  <c r="BA25" i="1"/>
  <c r="AZ25" i="1"/>
  <c r="AY25" i="1"/>
  <c r="AX25" i="1"/>
  <c r="BS24" i="1"/>
  <c r="BR24" i="1"/>
  <c r="BQ24" i="1"/>
  <c r="BP24" i="1"/>
  <c r="BO24" i="1"/>
  <c r="BN24" i="1"/>
  <c r="BM24" i="1"/>
  <c r="BL24" i="1"/>
  <c r="BK24" i="1"/>
  <c r="BJ24" i="1"/>
  <c r="BG24" i="1"/>
  <c r="BF24" i="1"/>
  <c r="BE24" i="1"/>
  <c r="BD24" i="1"/>
  <c r="BC24" i="1"/>
  <c r="BB24" i="1"/>
  <c r="BA24" i="1"/>
  <c r="AZ24" i="1"/>
  <c r="AY24" i="1"/>
  <c r="AX24" i="1"/>
  <c r="BS23" i="1"/>
  <c r="BR23" i="1"/>
  <c r="BQ23" i="1"/>
  <c r="BP23" i="1"/>
  <c r="BO23" i="1"/>
  <c r="BN23" i="1"/>
  <c r="BM23" i="1"/>
  <c r="BL23" i="1"/>
  <c r="BK23" i="1"/>
  <c r="BJ23" i="1"/>
  <c r="BG23" i="1"/>
  <c r="BF23" i="1"/>
  <c r="BE23" i="1"/>
  <c r="BD23" i="1"/>
  <c r="BC23" i="1"/>
  <c r="BB23" i="1"/>
  <c r="BA23" i="1"/>
  <c r="AZ23" i="1"/>
  <c r="AY23" i="1"/>
  <c r="AX23" i="1"/>
  <c r="BS22" i="1"/>
  <c r="BR22" i="1"/>
  <c r="BQ22" i="1"/>
  <c r="BP22" i="1"/>
  <c r="BO22" i="1"/>
  <c r="BN22" i="1"/>
  <c r="BM22" i="1"/>
  <c r="BL22" i="1"/>
  <c r="BK22" i="1"/>
  <c r="BJ22" i="1"/>
  <c r="BG22" i="1"/>
  <c r="BF22" i="1"/>
  <c r="BE22" i="1"/>
  <c r="BD22" i="1"/>
  <c r="BC22" i="1"/>
  <c r="BB22" i="1"/>
  <c r="BA22" i="1"/>
  <c r="AZ22" i="1"/>
  <c r="AY22" i="1"/>
  <c r="AX22" i="1"/>
  <c r="BS21" i="1"/>
  <c r="BR21" i="1"/>
  <c r="BQ21" i="1"/>
  <c r="BP21" i="1"/>
  <c r="BO21" i="1"/>
  <c r="BN21" i="1"/>
  <c r="BM21" i="1"/>
  <c r="BL21" i="1"/>
  <c r="BK21" i="1"/>
  <c r="BJ21" i="1"/>
  <c r="BG21" i="1"/>
  <c r="BF21" i="1"/>
  <c r="BE21" i="1"/>
  <c r="BD21" i="1"/>
  <c r="BC21" i="1"/>
  <c r="BB21" i="1"/>
  <c r="BA21" i="1"/>
  <c r="AZ21" i="1"/>
  <c r="AY21" i="1"/>
  <c r="AX21" i="1"/>
  <c r="BS20" i="1"/>
  <c r="BR20" i="1"/>
  <c r="BQ20" i="1"/>
  <c r="BP20" i="1"/>
  <c r="BO20" i="1"/>
  <c r="BN20" i="1"/>
  <c r="BM20" i="1"/>
  <c r="BL20" i="1"/>
  <c r="BK20" i="1"/>
  <c r="BJ20" i="1"/>
  <c r="BG20" i="1"/>
  <c r="BF20" i="1"/>
  <c r="BE20" i="1"/>
  <c r="BD20" i="1"/>
  <c r="BC20" i="1"/>
  <c r="BB20" i="1"/>
  <c r="BA20" i="1"/>
  <c r="AZ20" i="1"/>
  <c r="AY20" i="1"/>
  <c r="AX20" i="1"/>
  <c r="BS19" i="1"/>
  <c r="BR19" i="1"/>
  <c r="BQ19" i="1"/>
  <c r="BP19" i="1"/>
  <c r="BO19" i="1"/>
  <c r="BN19" i="1"/>
  <c r="BM19" i="1"/>
  <c r="BL19" i="1"/>
  <c r="BK19" i="1"/>
  <c r="BJ19" i="1"/>
  <c r="BG19" i="1"/>
  <c r="BF19" i="1"/>
  <c r="BE19" i="1"/>
  <c r="BD19" i="1"/>
  <c r="BC19" i="1"/>
  <c r="BB19" i="1"/>
  <c r="BA19" i="1"/>
  <c r="AZ19" i="1"/>
  <c r="AY19" i="1"/>
  <c r="AX19" i="1"/>
  <c r="BS18" i="1"/>
  <c r="BR18" i="1"/>
  <c r="BQ18" i="1"/>
  <c r="BP18" i="1"/>
  <c r="BO18" i="1"/>
  <c r="BN18" i="1"/>
  <c r="BM18" i="1"/>
  <c r="BL18" i="1"/>
  <c r="BK18" i="1"/>
  <c r="BJ18" i="1"/>
  <c r="BG18" i="1"/>
  <c r="BF18" i="1"/>
  <c r="BE18" i="1"/>
  <c r="BD18" i="1"/>
  <c r="BC18" i="1"/>
  <c r="BB18" i="1"/>
  <c r="BA18" i="1"/>
  <c r="AZ18" i="1"/>
  <c r="AY18" i="1"/>
  <c r="AX18" i="1"/>
  <c r="BS17" i="1"/>
  <c r="BR17" i="1"/>
  <c r="BQ17" i="1"/>
  <c r="BP17" i="1"/>
  <c r="BO17" i="1"/>
  <c r="BN17" i="1"/>
  <c r="BM17" i="1"/>
  <c r="BL17" i="1"/>
  <c r="BK17" i="1"/>
  <c r="BJ17" i="1"/>
  <c r="BG17" i="1"/>
  <c r="BF17" i="1"/>
  <c r="BE17" i="1"/>
  <c r="BD17" i="1"/>
  <c r="BC17" i="1"/>
  <c r="BB17" i="1"/>
  <c r="BA17" i="1"/>
  <c r="AZ17" i="1"/>
  <c r="AY17" i="1"/>
  <c r="AX17" i="1"/>
  <c r="BS16" i="1"/>
  <c r="BR16" i="1"/>
  <c r="BQ16" i="1"/>
  <c r="BP16" i="1"/>
  <c r="BO16" i="1"/>
  <c r="BN16" i="1"/>
  <c r="BM16" i="1"/>
  <c r="BL16" i="1"/>
  <c r="BK16" i="1"/>
  <c r="BJ16" i="1"/>
  <c r="BG16" i="1"/>
  <c r="BF16" i="1"/>
  <c r="BE16" i="1"/>
  <c r="BD16" i="1"/>
  <c r="BC16" i="1"/>
  <c r="BB16" i="1"/>
  <c r="BA16" i="1"/>
  <c r="AZ16" i="1"/>
  <c r="AY16" i="1"/>
  <c r="AX16" i="1"/>
  <c r="BS15" i="1"/>
  <c r="BR15" i="1"/>
  <c r="BQ15" i="1"/>
  <c r="BP15" i="1"/>
  <c r="BO15" i="1"/>
  <c r="BN15" i="1"/>
  <c r="BM15" i="1"/>
  <c r="BL15" i="1"/>
  <c r="BK15" i="1"/>
  <c r="BJ15" i="1"/>
  <c r="BG15" i="1"/>
  <c r="BF15" i="1"/>
  <c r="BE15" i="1"/>
  <c r="BD15" i="1"/>
  <c r="BC15" i="1"/>
  <c r="BB15" i="1"/>
  <c r="BA15" i="1"/>
  <c r="AZ15" i="1"/>
  <c r="AY15" i="1"/>
  <c r="AX15" i="1"/>
  <c r="BS14" i="1"/>
  <c r="BR14" i="1"/>
  <c r="BQ14" i="1"/>
  <c r="BP14" i="1"/>
  <c r="BO14" i="1"/>
  <c r="BN14" i="1"/>
  <c r="BM14" i="1"/>
  <c r="BL14" i="1"/>
  <c r="BK14" i="1"/>
  <c r="BJ14" i="1"/>
  <c r="BG14" i="1"/>
  <c r="BF14" i="1"/>
  <c r="BE14" i="1"/>
  <c r="BD14" i="1"/>
  <c r="BC14" i="1"/>
  <c r="BB14" i="1"/>
  <c r="BA14" i="1"/>
  <c r="AZ14" i="1"/>
  <c r="AY14" i="1"/>
  <c r="AX14" i="1"/>
  <c r="BS13" i="1"/>
  <c r="BR13" i="1"/>
  <c r="BQ13" i="1"/>
  <c r="BP13" i="1"/>
  <c r="BO13" i="1"/>
  <c r="BN13" i="1"/>
  <c r="BM13" i="1"/>
  <c r="BL13" i="1"/>
  <c r="BK13" i="1"/>
  <c r="BJ13" i="1"/>
  <c r="BG13" i="1"/>
  <c r="BF13" i="1"/>
  <c r="BE13" i="1"/>
  <c r="BD13" i="1"/>
  <c r="BC13" i="1"/>
  <c r="BB13" i="1"/>
  <c r="BA13" i="1"/>
  <c r="AZ13" i="1"/>
  <c r="AY13" i="1"/>
  <c r="AX13" i="1"/>
  <c r="BS12" i="1"/>
  <c r="BR12" i="1"/>
  <c r="BQ12" i="1"/>
  <c r="BP12" i="1"/>
  <c r="BO12" i="1"/>
  <c r="BN12" i="1"/>
  <c r="BM12" i="1"/>
  <c r="BL12" i="1"/>
  <c r="BK12" i="1"/>
  <c r="BJ12" i="1"/>
  <c r="BG12" i="1"/>
  <c r="BF12" i="1"/>
  <c r="BE12" i="1"/>
  <c r="BD12" i="1"/>
  <c r="BC12" i="1"/>
  <c r="BB12" i="1"/>
  <c r="BA12" i="1"/>
  <c r="AZ12" i="1"/>
  <c r="AY12" i="1"/>
  <c r="AX12" i="1"/>
  <c r="BS11" i="1"/>
  <c r="BR11" i="1"/>
  <c r="BQ11" i="1"/>
  <c r="BP11" i="1"/>
  <c r="BO11" i="1"/>
  <c r="BN11" i="1"/>
  <c r="BM11" i="1"/>
  <c r="BL11" i="1"/>
  <c r="BK11" i="1"/>
  <c r="BJ11" i="1"/>
  <c r="BG11" i="1"/>
  <c r="BF11" i="1"/>
  <c r="BE11" i="1"/>
  <c r="BD11" i="1"/>
  <c r="BC11" i="1"/>
  <c r="BB11" i="1"/>
  <c r="BA11" i="1"/>
  <c r="AZ11" i="1"/>
  <c r="AY11" i="1"/>
  <c r="AX11" i="1"/>
  <c r="BS10" i="1"/>
  <c r="BR10" i="1"/>
  <c r="BQ10" i="1"/>
  <c r="BP10" i="1"/>
  <c r="BO10" i="1"/>
  <c r="BN10" i="1"/>
  <c r="BM10" i="1"/>
  <c r="BL10" i="1"/>
  <c r="BK10" i="1"/>
  <c r="BJ10" i="1"/>
  <c r="BG10" i="1"/>
  <c r="BF10" i="1"/>
  <c r="BE10" i="1"/>
  <c r="BD10" i="1"/>
  <c r="BC10" i="1"/>
  <c r="BB10" i="1"/>
  <c r="BA10" i="1"/>
  <c r="AZ10" i="1"/>
  <c r="AY10" i="1"/>
  <c r="AX10" i="1"/>
  <c r="BS9" i="1"/>
  <c r="BR9" i="1"/>
  <c r="BQ9" i="1"/>
  <c r="BP9" i="1"/>
  <c r="BO9" i="1"/>
  <c r="BN9" i="1"/>
  <c r="BM9" i="1"/>
  <c r="BL9" i="1"/>
  <c r="BK9" i="1"/>
  <c r="BJ9" i="1"/>
  <c r="BG9" i="1"/>
  <c r="BF9" i="1"/>
  <c r="BE9" i="1"/>
  <c r="BD9" i="1"/>
  <c r="BC9" i="1"/>
  <c r="BB9" i="1"/>
  <c r="BA9" i="1"/>
  <c r="AZ9" i="1"/>
  <c r="AY9" i="1"/>
  <c r="AX9" i="1"/>
  <c r="BS8" i="1"/>
  <c r="BR8" i="1"/>
  <c r="BQ8" i="1"/>
  <c r="BP8" i="1"/>
  <c r="BO8" i="1"/>
  <c r="BN8" i="1"/>
  <c r="BM8" i="1"/>
  <c r="BL8" i="1"/>
  <c r="BK8" i="1"/>
  <c r="BJ8" i="1"/>
  <c r="BG8" i="1"/>
  <c r="BF8" i="1"/>
  <c r="BE8" i="1"/>
  <c r="BD8" i="1"/>
  <c r="BC8" i="1"/>
  <c r="BB8" i="1"/>
  <c r="BA8" i="1"/>
  <c r="AZ8" i="1"/>
  <c r="AY8" i="1"/>
  <c r="AX8" i="1"/>
  <c r="BS7" i="1"/>
  <c r="BR7" i="1"/>
  <c r="BQ7" i="1"/>
  <c r="BP7" i="1"/>
  <c r="BO7" i="1"/>
  <c r="BN7" i="1"/>
  <c r="BM7" i="1"/>
  <c r="BL7" i="1"/>
  <c r="BK7" i="1"/>
  <c r="BJ7" i="1"/>
  <c r="BG7" i="1"/>
  <c r="BF7" i="1"/>
  <c r="BE7" i="1"/>
  <c r="BD7" i="1"/>
  <c r="BC7" i="1"/>
  <c r="BB7" i="1"/>
  <c r="BA7" i="1"/>
  <c r="AZ7" i="1"/>
  <c r="AY7" i="1"/>
  <c r="AX7" i="1"/>
  <c r="BS6" i="1"/>
  <c r="BR6" i="1"/>
  <c r="BQ6" i="1"/>
  <c r="BP6" i="1"/>
  <c r="BO6" i="1"/>
  <c r="BN6" i="1"/>
  <c r="BM6" i="1"/>
  <c r="BL6" i="1"/>
  <c r="BK6" i="1"/>
  <c r="BJ6" i="1"/>
  <c r="BG6" i="1"/>
  <c r="BF6" i="1"/>
  <c r="BE6" i="1"/>
  <c r="BD6" i="1"/>
  <c r="BC6" i="1"/>
  <c r="BB6" i="1"/>
  <c r="BA6" i="1"/>
  <c r="AZ6" i="1"/>
  <c r="AY6" i="1"/>
  <c r="AX6" i="1"/>
  <c r="BS5" i="1"/>
  <c r="BR5" i="1"/>
  <c r="BQ5" i="1"/>
  <c r="BP5" i="1"/>
  <c r="BO5" i="1"/>
  <c r="BN5" i="1"/>
  <c r="BM5" i="1"/>
  <c r="BL5" i="1"/>
  <c r="BK5" i="1"/>
  <c r="BJ5" i="1"/>
  <c r="BG5" i="1"/>
  <c r="BF5" i="1"/>
  <c r="BE5" i="1"/>
  <c r="BD5" i="1"/>
  <c r="BC5" i="1"/>
  <c r="BB5" i="1"/>
  <c r="BA5" i="1"/>
  <c r="AZ5" i="1"/>
  <c r="AY5" i="1"/>
  <c r="AX5" i="1"/>
  <c r="BG4" i="1"/>
  <c r="BF4" i="1"/>
  <c r="BE4" i="1"/>
  <c r="BD4" i="1"/>
  <c r="BC4" i="1"/>
  <c r="BB4" i="1"/>
  <c r="BA4" i="1"/>
  <c r="AZ4" i="1"/>
  <c r="AY4" i="1"/>
  <c r="AX4" i="1"/>
  <c r="BS4" i="1"/>
  <c r="BR4" i="1"/>
  <c r="BQ4" i="1"/>
  <c r="BP4" i="1"/>
  <c r="BO4" i="1"/>
  <c r="BN4" i="1"/>
  <c r="BM4" i="1"/>
  <c r="BL4" i="1"/>
  <c r="BK4" i="1"/>
  <c r="BJ4" i="1"/>
  <c r="G105" i="1"/>
  <c r="AJ112" i="1"/>
  <c r="AK112" i="1"/>
  <c r="AL112" i="1"/>
  <c r="AM112" i="1"/>
  <c r="AN112" i="1"/>
  <c r="AO112" i="1"/>
  <c r="AP112" i="1"/>
  <c r="AQ112" i="1"/>
  <c r="AR112" i="1"/>
  <c r="AD5" i="7" l="1"/>
  <c r="AJ5" i="7"/>
  <c r="AD6" i="7"/>
  <c r="AJ6" i="7"/>
  <c r="AH5" i="6"/>
  <c r="AH9" i="6"/>
  <c r="AH13" i="6"/>
  <c r="AH17" i="6"/>
  <c r="AH21" i="6"/>
  <c r="AH25" i="6"/>
  <c r="AH29" i="6"/>
  <c r="AH33" i="6"/>
  <c r="AH37" i="6"/>
  <c r="AH41" i="6"/>
  <c r="AH45" i="6"/>
  <c r="AC5" i="6"/>
  <c r="S5" i="6" s="1"/>
  <c r="AC9" i="6"/>
  <c r="S9" i="6" s="1"/>
  <c r="AC13" i="6"/>
  <c r="S13" i="6" s="1"/>
  <c r="AC17" i="6"/>
  <c r="AC21" i="6"/>
  <c r="S21" i="6" s="1"/>
  <c r="AC25" i="6"/>
  <c r="S25" i="6" s="1"/>
  <c r="AC29" i="6"/>
  <c r="S29" i="6" s="1"/>
  <c r="AC33" i="6"/>
  <c r="AC37" i="6"/>
  <c r="S37" i="6" s="1"/>
  <c r="AC41" i="6"/>
  <c r="S41" i="6" s="1"/>
  <c r="AC45" i="6"/>
  <c r="S45" i="6" s="1"/>
  <c r="AH8" i="6"/>
  <c r="AH12" i="6"/>
  <c r="AH16" i="6"/>
  <c r="AH20" i="6"/>
  <c r="AH24" i="6"/>
  <c r="AH28" i="6"/>
  <c r="AH32" i="6"/>
  <c r="AH36" i="6"/>
  <c r="AH40" i="6"/>
  <c r="AH44" i="6"/>
  <c r="AH48" i="6"/>
  <c r="AC8" i="6"/>
  <c r="S8" i="6" s="1"/>
  <c r="AC12" i="6"/>
  <c r="AC16" i="6"/>
  <c r="S16" i="6" s="1"/>
  <c r="AC20" i="6"/>
  <c r="AC24" i="6"/>
  <c r="S24" i="6" s="1"/>
  <c r="AC28" i="6"/>
  <c r="AC32" i="6"/>
  <c r="S32" i="6" s="1"/>
  <c r="AC36" i="6"/>
  <c r="AC40" i="6"/>
  <c r="S40" i="6" s="1"/>
  <c r="AC44" i="6"/>
  <c r="AC48" i="6"/>
  <c r="S48" i="6" s="1"/>
  <c r="AM6" i="5"/>
  <c r="AG6" i="5"/>
  <c r="U6" i="5" s="1"/>
  <c r="AG7" i="5"/>
  <c r="AM7" i="5"/>
  <c r="AG8" i="5"/>
  <c r="AM8" i="5"/>
  <c r="AG9" i="5"/>
  <c r="AM9" i="5"/>
  <c r="AG10" i="5"/>
  <c r="AM10" i="5"/>
  <c r="AG11" i="5"/>
  <c r="AM11" i="5"/>
  <c r="AG12" i="5"/>
  <c r="AM12" i="5"/>
  <c r="AG13" i="5"/>
  <c r="AM13" i="5"/>
  <c r="AG14" i="5"/>
  <c r="AM14" i="5"/>
  <c r="AG15" i="5"/>
  <c r="AM15" i="5"/>
  <c r="AG16" i="5"/>
  <c r="AM16" i="5"/>
  <c r="AG17" i="5"/>
  <c r="AM17" i="5"/>
  <c r="AG18" i="5"/>
  <c r="AM18" i="5"/>
  <c r="AG19" i="5"/>
  <c r="AM19" i="5"/>
  <c r="AG20" i="5"/>
  <c r="AM20" i="5"/>
  <c r="AG21" i="5"/>
  <c r="AM21" i="5"/>
  <c r="AG22" i="5"/>
  <c r="AM22" i="5"/>
  <c r="AG23" i="5"/>
  <c r="AM23" i="5"/>
  <c r="AG24" i="5"/>
  <c r="AM24" i="5"/>
  <c r="AG25" i="5"/>
  <c r="AM25" i="5"/>
  <c r="BC8" i="4"/>
  <c r="BK8" i="4"/>
  <c r="BC10" i="4"/>
  <c r="BK10" i="4"/>
  <c r="BC12" i="4"/>
  <c r="BK12" i="4"/>
  <c r="BC14" i="4"/>
  <c r="BK14" i="4"/>
  <c r="BC16" i="4"/>
  <c r="BK16" i="4"/>
  <c r="BC18" i="4"/>
  <c r="BK18" i="4"/>
  <c r="BC20" i="4"/>
  <c r="Z20" i="4" s="1"/>
  <c r="BK20" i="4"/>
  <c r="BC22" i="4"/>
  <c r="BK22" i="4"/>
  <c r="BC24" i="4"/>
  <c r="Z24" i="4" s="1"/>
  <c r="BK24" i="4"/>
  <c r="BC26" i="4"/>
  <c r="BK26" i="4"/>
  <c r="BC28" i="4"/>
  <c r="Z28" i="4" s="1"/>
  <c r="BK28" i="4"/>
  <c r="BC30" i="4"/>
  <c r="BK30" i="4"/>
  <c r="BC32" i="4"/>
  <c r="Z32" i="4" s="1"/>
  <c r="BK32" i="4"/>
  <c r="BC34" i="4"/>
  <c r="BK34" i="4"/>
  <c r="BC36" i="4"/>
  <c r="BK36" i="4"/>
  <c r="BC38" i="4"/>
  <c r="BK38" i="4"/>
  <c r="BC40" i="4"/>
  <c r="Z40" i="4" s="1"/>
  <c r="BK40" i="4"/>
  <c r="BC42" i="4"/>
  <c r="BK42" i="4"/>
  <c r="BC44" i="4"/>
  <c r="Z44" i="4" s="1"/>
  <c r="BK44" i="4"/>
  <c r="BC46" i="4"/>
  <c r="BK46" i="4"/>
  <c r="BC48" i="4"/>
  <c r="Z48" i="4" s="1"/>
  <c r="BK48" i="4"/>
  <c r="BC50" i="4"/>
  <c r="BK50" i="4"/>
  <c r="BC52" i="4"/>
  <c r="Z52" i="4" s="1"/>
  <c r="BK52" i="4"/>
  <c r="BC54" i="4"/>
  <c r="BK54" i="4"/>
  <c r="BC56" i="4"/>
  <c r="Z56" i="4" s="1"/>
  <c r="BK56" i="4"/>
  <c r="BC58" i="4"/>
  <c r="BK58" i="4"/>
  <c r="BC60" i="4"/>
  <c r="Z60" i="4" s="1"/>
  <c r="BK60" i="4"/>
  <c r="BC62" i="4"/>
  <c r="BK62" i="4"/>
  <c r="BC64" i="4"/>
  <c r="Z64" i="4" s="1"/>
  <c r="BK64" i="4"/>
  <c r="BC66" i="4"/>
  <c r="BC67" i="4"/>
  <c r="BC69" i="4"/>
  <c r="Z69" i="4" s="1"/>
  <c r="BK69" i="4"/>
  <c r="BC71" i="4"/>
  <c r="BK71" i="4"/>
  <c r="BC73" i="4"/>
  <c r="BC75" i="4"/>
  <c r="BC77" i="4"/>
  <c r="BC79" i="4"/>
  <c r="BC81" i="4"/>
  <c r="Z81" i="4" s="1"/>
  <c r="BC83" i="4"/>
  <c r="BC85" i="4"/>
  <c r="BC87" i="4"/>
  <c r="Z87" i="4" s="1"/>
  <c r="BC89" i="4"/>
  <c r="BC91" i="4"/>
  <c r="BC93" i="4"/>
  <c r="BC95" i="4"/>
  <c r="BC97" i="4"/>
  <c r="BC99" i="4"/>
  <c r="BC101" i="4"/>
  <c r="BK103" i="4"/>
  <c r="BC104" i="4"/>
  <c r="Z104" i="4" s="1"/>
  <c r="BC106" i="4"/>
  <c r="BC107" i="4"/>
  <c r="BC109" i="4"/>
  <c r="BK111" i="4"/>
  <c r="BC114" i="4"/>
  <c r="BC115" i="4"/>
  <c r="BC117" i="4"/>
  <c r="BK119" i="4"/>
  <c r="BC120" i="4"/>
  <c r="BC122" i="4"/>
  <c r="BC123" i="4"/>
  <c r="Z123" i="4" s="1"/>
  <c r="BC125" i="4"/>
  <c r="BK127" i="4"/>
  <c r="BC130" i="4"/>
  <c r="BC131" i="4"/>
  <c r="BC133" i="4"/>
  <c r="Z133" i="4" s="1"/>
  <c r="BC136" i="4"/>
  <c r="BK137" i="4"/>
  <c r="BC138" i="4"/>
  <c r="BK139" i="4"/>
  <c r="BC140" i="4"/>
  <c r="BC142" i="4"/>
  <c r="Z142" i="4" s="1"/>
  <c r="BK143" i="4"/>
  <c r="BC144" i="4"/>
  <c r="BK145" i="4"/>
  <c r="BC146" i="4"/>
  <c r="BK147" i="4"/>
  <c r="BC148" i="4"/>
  <c r="BC150" i="4"/>
  <c r="BK151" i="4"/>
  <c r="BC152" i="4"/>
  <c r="BK153" i="4"/>
  <c r="BC154" i="4"/>
  <c r="BK155" i="4"/>
  <c r="BC156" i="4"/>
  <c r="BC158" i="4"/>
  <c r="Z158" i="4" s="1"/>
  <c r="BK159" i="4"/>
  <c r="BC160" i="4"/>
  <c r="BK161" i="4"/>
  <c r="BC162" i="4"/>
  <c r="Z162" i="4" s="1"/>
  <c r="BK163" i="4"/>
  <c r="BC166" i="4"/>
  <c r="BK167" i="4"/>
  <c r="BC168" i="4"/>
  <c r="BK169" i="4"/>
  <c r="BC170" i="4"/>
  <c r="BK171" i="4"/>
  <c r="BC172" i="4"/>
  <c r="BC174" i="4"/>
  <c r="BK175" i="4"/>
  <c r="BC176" i="4"/>
  <c r="BK177" i="4"/>
  <c r="BC178" i="4"/>
  <c r="BK179" i="4"/>
  <c r="BC180" i="4"/>
  <c r="P14" i="10"/>
  <c r="P18" i="10"/>
  <c r="P6" i="10"/>
  <c r="P22" i="10"/>
  <c r="P26" i="10"/>
  <c r="P5" i="10"/>
  <c r="P9" i="10"/>
  <c r="P17" i="10"/>
  <c r="P25" i="10"/>
  <c r="P27" i="10"/>
  <c r="P7" i="10"/>
  <c r="P11" i="10"/>
  <c r="P15" i="10"/>
  <c r="P23" i="10"/>
  <c r="Z115" i="4"/>
  <c r="BC164" i="4"/>
  <c r="BK6" i="4"/>
  <c r="Z120" i="4"/>
  <c r="BC11" i="4"/>
  <c r="BC13" i="4"/>
  <c r="BC15" i="4"/>
  <c r="BC17" i="4"/>
  <c r="BC19" i="4"/>
  <c r="BC21" i="4"/>
  <c r="BC23" i="4"/>
  <c r="BC25" i="4"/>
  <c r="BC27" i="4"/>
  <c r="BC29" i="4"/>
  <c r="Z29" i="4" s="1"/>
  <c r="BC31" i="4"/>
  <c r="BC33" i="4"/>
  <c r="BC35" i="4"/>
  <c r="BC37" i="4"/>
  <c r="BC39" i="4"/>
  <c r="BC41" i="4"/>
  <c r="BC43" i="4"/>
  <c r="BC45" i="4"/>
  <c r="Z45" i="4" s="1"/>
  <c r="BC47" i="4"/>
  <c r="BC49" i="4"/>
  <c r="BC51" i="4"/>
  <c r="BC53" i="4"/>
  <c r="Z53" i="4" s="1"/>
  <c r="BC55" i="4"/>
  <c r="BC57" i="4"/>
  <c r="BC59" i="4"/>
  <c r="BC61" i="4"/>
  <c r="BC63" i="4"/>
  <c r="BC65" i="4"/>
  <c r="BC103" i="4"/>
  <c r="Z103" i="4" s="1"/>
  <c r="BC111" i="4"/>
  <c r="Z111" i="4" s="1"/>
  <c r="BC119" i="4"/>
  <c r="BC127" i="4"/>
  <c r="Z127" i="4" s="1"/>
  <c r="BC7" i="4"/>
  <c r="Z7" i="4" s="1"/>
  <c r="BC9" i="4"/>
  <c r="BK7" i="4"/>
  <c r="BK11" i="4"/>
  <c r="BK17" i="4"/>
  <c r="BK19" i="4"/>
  <c r="BK21" i="4"/>
  <c r="BK23" i="4"/>
  <c r="BK25" i="4"/>
  <c r="BK27" i="4"/>
  <c r="BK29" i="4"/>
  <c r="BK31" i="4"/>
  <c r="BK35" i="4"/>
  <c r="BK39" i="4"/>
  <c r="BC70" i="4"/>
  <c r="BK72" i="4"/>
  <c r="BC74" i="4"/>
  <c r="BC76" i="4"/>
  <c r="BC78" i="4"/>
  <c r="BK80" i="4"/>
  <c r="BK84" i="4"/>
  <c r="BC88" i="4"/>
  <c r="BC92" i="4"/>
  <c r="BK96" i="4"/>
  <c r="BC98" i="4"/>
  <c r="BC100" i="4"/>
  <c r="BC102" i="4"/>
  <c r="BK104" i="4"/>
  <c r="BC108" i="4"/>
  <c r="BC110" i="4"/>
  <c r="BK112" i="4"/>
  <c r="BC113" i="4"/>
  <c r="BC116" i="4"/>
  <c r="BC118" i="4"/>
  <c r="BK120" i="4"/>
  <c r="BC121" i="4"/>
  <c r="BC124" i="4"/>
  <c r="BC126" i="4"/>
  <c r="BK128" i="4"/>
  <c r="BC129" i="4"/>
  <c r="BC132" i="4"/>
  <c r="BK134" i="4"/>
  <c r="BC135" i="4"/>
  <c r="BK136" i="4"/>
  <c r="BC137" i="4"/>
  <c r="Z137" i="4" s="1"/>
  <c r="BC139" i="4"/>
  <c r="BK140" i="4"/>
  <c r="Z140" i="4" s="1"/>
  <c r="BC141" i="4"/>
  <c r="BK142" i="4"/>
  <c r="BC143" i="4"/>
  <c r="Z143" i="4" s="1"/>
  <c r="BK144" i="4"/>
  <c r="BC145" i="4"/>
  <c r="Z145" i="4" s="1"/>
  <c r="BC147" i="4"/>
  <c r="Z147" i="4" s="1"/>
  <c r="BK148" i="4"/>
  <c r="BC149" i="4"/>
  <c r="BK150" i="4"/>
  <c r="BC151" i="4"/>
  <c r="Z151" i="4" s="1"/>
  <c r="BK152" i="4"/>
  <c r="Z152" i="4" s="1"/>
  <c r="BC153" i="4"/>
  <c r="BC155" i="4"/>
  <c r="Z155" i="4" s="1"/>
  <c r="BK156" i="4"/>
  <c r="Z156" i="4" s="1"/>
  <c r="BC157" i="4"/>
  <c r="BK158" i="4"/>
  <c r="BC159" i="4"/>
  <c r="Z159" i="4" s="1"/>
  <c r="BK160" i="4"/>
  <c r="Z160" i="4" s="1"/>
  <c r="BC161" i="4"/>
  <c r="Z161" i="4" s="1"/>
  <c r="BC163" i="4"/>
  <c r="Z163" i="4" s="1"/>
  <c r="BK164" i="4"/>
  <c r="BC165" i="4"/>
  <c r="BK166" i="4"/>
  <c r="Z166" i="4" s="1"/>
  <c r="BC167" i="4"/>
  <c r="Z167" i="4" s="1"/>
  <c r="BK168" i="4"/>
  <c r="BK9" i="4"/>
  <c r="BK13" i="4"/>
  <c r="BK15" i="4"/>
  <c r="BK33" i="4"/>
  <c r="BK37" i="4"/>
  <c r="BK41" i="4"/>
  <c r="BK43" i="4"/>
  <c r="BK45" i="4"/>
  <c r="BK47" i="4"/>
  <c r="BK49" i="4"/>
  <c r="BK51" i="4"/>
  <c r="BK53" i="4"/>
  <c r="BK55" i="4"/>
  <c r="BK57" i="4"/>
  <c r="BK59" i="4"/>
  <c r="BK61" i="4"/>
  <c r="BK63" i="4"/>
  <c r="BK65" i="4"/>
  <c r="BC68" i="4"/>
  <c r="BK70" i="4"/>
  <c r="BC72" i="4"/>
  <c r="Z72" i="4" s="1"/>
  <c r="BK76" i="4"/>
  <c r="BC80" i="4"/>
  <c r="Z80" i="4" s="1"/>
  <c r="BC82" i="4"/>
  <c r="BC84" i="4"/>
  <c r="Z84" i="4" s="1"/>
  <c r="BC86" i="4"/>
  <c r="BK88" i="4"/>
  <c r="BC90" i="4"/>
  <c r="BK92" i="4"/>
  <c r="BC94" i="4"/>
  <c r="BC96" i="4"/>
  <c r="Z96" i="4" s="1"/>
  <c r="BK100" i="4"/>
  <c r="BC105" i="4"/>
  <c r="Z105" i="4" s="1"/>
  <c r="BC6" i="4"/>
  <c r="BK67" i="4"/>
  <c r="Z67" i="4" s="1"/>
  <c r="BK73" i="4"/>
  <c r="BK75" i="4"/>
  <c r="Z75" i="4" s="1"/>
  <c r="BK77" i="4"/>
  <c r="Z77" i="4" s="1"/>
  <c r="BK79" i="4"/>
  <c r="Z79" i="4" s="1"/>
  <c r="BK81" i="4"/>
  <c r="BK83" i="4"/>
  <c r="Z83" i="4" s="1"/>
  <c r="BK85" i="4"/>
  <c r="Z85" i="4" s="1"/>
  <c r="BK87" i="4"/>
  <c r="BK89" i="4"/>
  <c r="BK91" i="4"/>
  <c r="Z91" i="4" s="1"/>
  <c r="BK93" i="4"/>
  <c r="Z93" i="4" s="1"/>
  <c r="BK95" i="4"/>
  <c r="Z95" i="4" s="1"/>
  <c r="BK97" i="4"/>
  <c r="BK99" i="4"/>
  <c r="BK101" i="4"/>
  <c r="Z101" i="4" s="1"/>
  <c r="BK105" i="4"/>
  <c r="BK107" i="4"/>
  <c r="Z107" i="4" s="1"/>
  <c r="BK109" i="4"/>
  <c r="Z109" i="4" s="1"/>
  <c r="BK113" i="4"/>
  <c r="BK115" i="4"/>
  <c r="BK117" i="4"/>
  <c r="Z117" i="4" s="1"/>
  <c r="BK123" i="4"/>
  <c r="BK125" i="4"/>
  <c r="BK131" i="4"/>
  <c r="Z131" i="4" s="1"/>
  <c r="BK133" i="4"/>
  <c r="BC182" i="4"/>
  <c r="Z182" i="4" s="1"/>
  <c r="BK183" i="4"/>
  <c r="BC184" i="4"/>
  <c r="BK185" i="4"/>
  <c r="BC186" i="4"/>
  <c r="BK187" i="4"/>
  <c r="BC188" i="4"/>
  <c r="BC190" i="4"/>
  <c r="BK191" i="4"/>
  <c r="BC192" i="4"/>
  <c r="BK193" i="4"/>
  <c r="BC194" i="4"/>
  <c r="BK195" i="4"/>
  <c r="BC196" i="4"/>
  <c r="BC198" i="4"/>
  <c r="BK199" i="4"/>
  <c r="BC200" i="4"/>
  <c r="Z200" i="4" s="1"/>
  <c r="BK201" i="4"/>
  <c r="BC202" i="4"/>
  <c r="BK203" i="4"/>
  <c r="BC204" i="4"/>
  <c r="Z204" i="4" s="1"/>
  <c r="BC206" i="4"/>
  <c r="BK207" i="4"/>
  <c r="BC208" i="4"/>
  <c r="BK209" i="4"/>
  <c r="BC210" i="4"/>
  <c r="BK211" i="4"/>
  <c r="BC212" i="4"/>
  <c r="BC214" i="4"/>
  <c r="Z214" i="4" s="1"/>
  <c r="BK215" i="4"/>
  <c r="BC216" i="4"/>
  <c r="BK217" i="4"/>
  <c r="BC218" i="4"/>
  <c r="BK219" i="4"/>
  <c r="BC220" i="4"/>
  <c r="BC222" i="4"/>
  <c r="BK223" i="4"/>
  <c r="BC224" i="4"/>
  <c r="BK225" i="4"/>
  <c r="BC226" i="4"/>
  <c r="BK227" i="4"/>
  <c r="BC228" i="4"/>
  <c r="BC230" i="4"/>
  <c r="BK231" i="4"/>
  <c r="BC232" i="4"/>
  <c r="Z232" i="4" s="1"/>
  <c r="BK233" i="4"/>
  <c r="BC234" i="4"/>
  <c r="BK235" i="4"/>
  <c r="BC236" i="4"/>
  <c r="Z236" i="4" s="1"/>
  <c r="BC238" i="4"/>
  <c r="BK239" i="4"/>
  <c r="BC240" i="4"/>
  <c r="BK241" i="4"/>
  <c r="BC242" i="4"/>
  <c r="BC244" i="4"/>
  <c r="BC246" i="4"/>
  <c r="BC169" i="4"/>
  <c r="Z169" i="4" s="1"/>
  <c r="BC171" i="4"/>
  <c r="Z171" i="4" s="1"/>
  <c r="BK172" i="4"/>
  <c r="Z172" i="4" s="1"/>
  <c r="BC173" i="4"/>
  <c r="BK174" i="4"/>
  <c r="Z174" i="4" s="1"/>
  <c r="BC175" i="4"/>
  <c r="Z175" i="4" s="1"/>
  <c r="BK176" i="4"/>
  <c r="Z176" i="4" s="1"/>
  <c r="BC177" i="4"/>
  <c r="Z177" i="4" s="1"/>
  <c r="BC179" i="4"/>
  <c r="Z179" i="4" s="1"/>
  <c r="BK180" i="4"/>
  <c r="Z180" i="4" s="1"/>
  <c r="BC181" i="4"/>
  <c r="BK182" i="4"/>
  <c r="BC183" i="4"/>
  <c r="BK184" i="4"/>
  <c r="BC185" i="4"/>
  <c r="Z185" i="4" s="1"/>
  <c r="BC187" i="4"/>
  <c r="BK188" i="4"/>
  <c r="BC189" i="4"/>
  <c r="BK190" i="4"/>
  <c r="BC191" i="4"/>
  <c r="BK192" i="4"/>
  <c r="BC193" i="4"/>
  <c r="Z193" i="4" s="1"/>
  <c r="BC195" i="4"/>
  <c r="BK196" i="4"/>
  <c r="BC197" i="4"/>
  <c r="BK198" i="4"/>
  <c r="BC199" i="4"/>
  <c r="BK200" i="4"/>
  <c r="BC201" i="4"/>
  <c r="BC203" i="4"/>
  <c r="BK204" i="4"/>
  <c r="BC205" i="4"/>
  <c r="BK206" i="4"/>
  <c r="BC207" i="4"/>
  <c r="Z207" i="4" s="1"/>
  <c r="BK208" i="4"/>
  <c r="BC209" i="4"/>
  <c r="BC211" i="4"/>
  <c r="Z211" i="4" s="1"/>
  <c r="BK212" i="4"/>
  <c r="BC213" i="4"/>
  <c r="BK214" i="4"/>
  <c r="BC215" i="4"/>
  <c r="BK216" i="4"/>
  <c r="BC217" i="4"/>
  <c r="BC219" i="4"/>
  <c r="BK220" i="4"/>
  <c r="BC221" i="4"/>
  <c r="BK222" i="4"/>
  <c r="BC223" i="4"/>
  <c r="BK224" i="4"/>
  <c r="BC225" i="4"/>
  <c r="Z225" i="4" s="1"/>
  <c r="BC227" i="4"/>
  <c r="BK228" i="4"/>
  <c r="BC229" i="4"/>
  <c r="BK230" i="4"/>
  <c r="BC231" i="4"/>
  <c r="BK232" i="4"/>
  <c r="BC233" i="4"/>
  <c r="BC235" i="4"/>
  <c r="BK236" i="4"/>
  <c r="BC237" i="4"/>
  <c r="BK238" i="4"/>
  <c r="BC239" i="4"/>
  <c r="Z239" i="4" s="1"/>
  <c r="BK240" i="4"/>
  <c r="BC241" i="4"/>
  <c r="BC243" i="4"/>
  <c r="Z243" i="4" s="1"/>
  <c r="BK244" i="4"/>
  <c r="BC245" i="4"/>
  <c r="BK246" i="4"/>
  <c r="BC247" i="4"/>
  <c r="BC249" i="4"/>
  <c r="BC251" i="4"/>
  <c r="BK252" i="4"/>
  <c r="BC253" i="4"/>
  <c r="Z253" i="4" s="1"/>
  <c r="BK254" i="4"/>
  <c r="BC255" i="4"/>
  <c r="BC257" i="4"/>
  <c r="BC259" i="4"/>
  <c r="Z259" i="4" s="1"/>
  <c r="BK260" i="4"/>
  <c r="BC261" i="4"/>
  <c r="BK262" i="4"/>
  <c r="BC263" i="4"/>
  <c r="BC265" i="4"/>
  <c r="BC267" i="4"/>
  <c r="BK268" i="4"/>
  <c r="BC269" i="4"/>
  <c r="Z269" i="4" s="1"/>
  <c r="BK270" i="4"/>
  <c r="BC271" i="4"/>
  <c r="BK249" i="4"/>
  <c r="BK251" i="4"/>
  <c r="BK257" i="4"/>
  <c r="BK259" i="4"/>
  <c r="BK265" i="4"/>
  <c r="BK267" i="4"/>
  <c r="BC248" i="4"/>
  <c r="BC250" i="4"/>
  <c r="BC252" i="4"/>
  <c r="Z252" i="4" s="1"/>
  <c r="BC254" i="4"/>
  <c r="BC256" i="4"/>
  <c r="BC258" i="4"/>
  <c r="BC260" i="4"/>
  <c r="BC262" i="4"/>
  <c r="BC264" i="4"/>
  <c r="BC266" i="4"/>
  <c r="BC268" i="4"/>
  <c r="Z268" i="4" s="1"/>
  <c r="BC270" i="4"/>
  <c r="BK68" i="4"/>
  <c r="BK78" i="4"/>
  <c r="BK86" i="4"/>
  <c r="BK94" i="4"/>
  <c r="BC128" i="4"/>
  <c r="Z128" i="4" s="1"/>
  <c r="BK129" i="4"/>
  <c r="BK66" i="4"/>
  <c r="Z66" i="4" s="1"/>
  <c r="BK121" i="4"/>
  <c r="BK74" i="4"/>
  <c r="BK82" i="4"/>
  <c r="BK90" i="4"/>
  <c r="BK98" i="4"/>
  <c r="BC112" i="4"/>
  <c r="Z112" i="4" s="1"/>
  <c r="BK135" i="4"/>
  <c r="BK102" i="4"/>
  <c r="BK110" i="4"/>
  <c r="BK118" i="4"/>
  <c r="BK126" i="4"/>
  <c r="BK269" i="4"/>
  <c r="BK108" i="4"/>
  <c r="BK116" i="4"/>
  <c r="BK124" i="4"/>
  <c r="BK132" i="4"/>
  <c r="BC134" i="4"/>
  <c r="BK245" i="4"/>
  <c r="BK248" i="4"/>
  <c r="BK253" i="4"/>
  <c r="BK256" i="4"/>
  <c r="BK261" i="4"/>
  <c r="BK264" i="4"/>
  <c r="BK271" i="4"/>
  <c r="BK106" i="4"/>
  <c r="Z106" i="4" s="1"/>
  <c r="BK114" i="4"/>
  <c r="Z114" i="4" s="1"/>
  <c r="BK122" i="4"/>
  <c r="Z122" i="4" s="1"/>
  <c r="BK130" i="4"/>
  <c r="Z130" i="4" s="1"/>
  <c r="BK138" i="4"/>
  <c r="Z138" i="4" s="1"/>
  <c r="BK141" i="4"/>
  <c r="BK146" i="4"/>
  <c r="Z146" i="4" s="1"/>
  <c r="BK149" i="4"/>
  <c r="BK154" i="4"/>
  <c r="Z154" i="4" s="1"/>
  <c r="BK157" i="4"/>
  <c r="BK162" i="4"/>
  <c r="BK165" i="4"/>
  <c r="BK170" i="4"/>
  <c r="BK173" i="4"/>
  <c r="BK178" i="4"/>
  <c r="Z178" i="4" s="1"/>
  <c r="BK181" i="4"/>
  <c r="BK186" i="4"/>
  <c r="BK189" i="4"/>
  <c r="BK194" i="4"/>
  <c r="BK197" i="4"/>
  <c r="BK202" i="4"/>
  <c r="BK205" i="4"/>
  <c r="BK210" i="4"/>
  <c r="BK213" i="4"/>
  <c r="BK218" i="4"/>
  <c r="BK221" i="4"/>
  <c r="BK226" i="4"/>
  <c r="BK229" i="4"/>
  <c r="BK234" i="4"/>
  <c r="BK237" i="4"/>
  <c r="BK242" i="4"/>
  <c r="BK247" i="4"/>
  <c r="BK250" i="4"/>
  <c r="BK255" i="4"/>
  <c r="BK258" i="4"/>
  <c r="BK263" i="4"/>
  <c r="BK266" i="4"/>
  <c r="BT5" i="1"/>
  <c r="BT7" i="1"/>
  <c r="BT9" i="1"/>
  <c r="BT11" i="1"/>
  <c r="BT13" i="1"/>
  <c r="BT15" i="1"/>
  <c r="BT17" i="1"/>
  <c r="BT20" i="1"/>
  <c r="BH21" i="1"/>
  <c r="BH22" i="1"/>
  <c r="AB22" i="1" s="1"/>
  <c r="BT22" i="1"/>
  <c r="BH23" i="1"/>
  <c r="BH25" i="1"/>
  <c r="BT25" i="1"/>
  <c r="BT26" i="1"/>
  <c r="BH27" i="1"/>
  <c r="BH29" i="1"/>
  <c r="BT29" i="1"/>
  <c r="BT30" i="1"/>
  <c r="BH31" i="1"/>
  <c r="BH33" i="1"/>
  <c r="BT33" i="1"/>
  <c r="BH35" i="1"/>
  <c r="BH37" i="1"/>
  <c r="BT37" i="1"/>
  <c r="BT38" i="1"/>
  <c r="BH39" i="1"/>
  <c r="BH41" i="1"/>
  <c r="AB41" i="1" s="1"/>
  <c r="BT41" i="1"/>
  <c r="BT42" i="1"/>
  <c r="BH43" i="1"/>
  <c r="BH45" i="1"/>
  <c r="AB45" i="1" s="1"/>
  <c r="BT45" i="1"/>
  <c r="BH47" i="1"/>
  <c r="BH49" i="1"/>
  <c r="BT49" i="1"/>
  <c r="BT50" i="1"/>
  <c r="BH51" i="1"/>
  <c r="BH53" i="1"/>
  <c r="BT53" i="1"/>
  <c r="BT54" i="1"/>
  <c r="BH55" i="1"/>
  <c r="BH57" i="1"/>
  <c r="BT57" i="1"/>
  <c r="BT58" i="1"/>
  <c r="BH59" i="1"/>
  <c r="BH61" i="1"/>
  <c r="BT61" i="1"/>
  <c r="BT62" i="1"/>
  <c r="BH63" i="1"/>
  <c r="BH65" i="1"/>
  <c r="BT65" i="1"/>
  <c r="BT66" i="1"/>
  <c r="BH67" i="1"/>
  <c r="BH69" i="1"/>
  <c r="BT69" i="1"/>
  <c r="BT70" i="1"/>
  <c r="BH71" i="1"/>
  <c r="BH73" i="1"/>
  <c r="BT73" i="1"/>
  <c r="BT74" i="1"/>
  <c r="BH75" i="1"/>
  <c r="BH77" i="1"/>
  <c r="BT77" i="1"/>
  <c r="BT78" i="1"/>
  <c r="BH79" i="1"/>
  <c r="BT81" i="1"/>
  <c r="BH83" i="1"/>
  <c r="BH85" i="1"/>
  <c r="BT85" i="1"/>
  <c r="BT86" i="1"/>
  <c r="BH87" i="1"/>
  <c r="BH89" i="1"/>
  <c r="BT89" i="1"/>
  <c r="BT90" i="1"/>
  <c r="BH91" i="1"/>
  <c r="BH93" i="1"/>
  <c r="BH95" i="1"/>
  <c r="BT95" i="1"/>
  <c r="BH97" i="1"/>
  <c r="BH99" i="1"/>
  <c r="BT99" i="1"/>
  <c r="BH101" i="1"/>
  <c r="BH103" i="1"/>
  <c r="AB103" i="1" s="1"/>
  <c r="BT103" i="1"/>
  <c r="BH105" i="1"/>
  <c r="BH107" i="1"/>
  <c r="BT107" i="1"/>
  <c r="BH109" i="1"/>
  <c r="BH111" i="1"/>
  <c r="BT111" i="1"/>
  <c r="BH113" i="1"/>
  <c r="BH115" i="1"/>
  <c r="BT115" i="1"/>
  <c r="BH117" i="1"/>
  <c r="BH119" i="1"/>
  <c r="BT119" i="1"/>
  <c r="BH121" i="1"/>
  <c r="BH123" i="1"/>
  <c r="BT123" i="1"/>
  <c r="BH125" i="1"/>
  <c r="BH127" i="1"/>
  <c r="AB127" i="1" s="1"/>
  <c r="BT127" i="1"/>
  <c r="BH129" i="1"/>
  <c r="BH131" i="1"/>
  <c r="BT131" i="1"/>
  <c r="BH133" i="1"/>
  <c r="BH135" i="1"/>
  <c r="AB135" i="1" s="1"/>
  <c r="BT135" i="1"/>
  <c r="BH137" i="1"/>
  <c r="BH139" i="1"/>
  <c r="BT139" i="1"/>
  <c r="BH141" i="1"/>
  <c r="BH143" i="1"/>
  <c r="AB143" i="1" s="1"/>
  <c r="BT143" i="1"/>
  <c r="BH145" i="1"/>
  <c r="BH147" i="1"/>
  <c r="BT147" i="1"/>
  <c r="BH149" i="1"/>
  <c r="BH151" i="1"/>
  <c r="BT151" i="1"/>
  <c r="BH153" i="1"/>
  <c r="BH155" i="1"/>
  <c r="BT155" i="1"/>
  <c r="BH157" i="1"/>
  <c r="BH159" i="1"/>
  <c r="BT159" i="1"/>
  <c r="BT160" i="1"/>
  <c r="BH239" i="1"/>
  <c r="BT239" i="1"/>
  <c r="BT240" i="1"/>
  <c r="BH241" i="1"/>
  <c r="BT242" i="1"/>
  <c r="BH243" i="1"/>
  <c r="BH245" i="1"/>
  <c r="BH247" i="1"/>
  <c r="BT247" i="1"/>
  <c r="BH249" i="1"/>
  <c r="BH251" i="1"/>
  <c r="BT252" i="1"/>
  <c r="BH253" i="1"/>
  <c r="BH255" i="1"/>
  <c r="AB255" i="1" s="1"/>
  <c r="BT255" i="1"/>
  <c r="BT256" i="1"/>
  <c r="BH257" i="1"/>
  <c r="BT258" i="1"/>
  <c r="BH259" i="1"/>
  <c r="BT166" i="1"/>
  <c r="BT168" i="1"/>
  <c r="BT170" i="1"/>
  <c r="BT172" i="1"/>
  <c r="BT174" i="1"/>
  <c r="BT176" i="1"/>
  <c r="BT178" i="1"/>
  <c r="BT180" i="1"/>
  <c r="BT182" i="1"/>
  <c r="BT184" i="1"/>
  <c r="BT186" i="1"/>
  <c r="BT188" i="1"/>
  <c r="BT190" i="1"/>
  <c r="BT192" i="1"/>
  <c r="BT194" i="1"/>
  <c r="BT196" i="1"/>
  <c r="BT198" i="1"/>
  <c r="BT200" i="1"/>
  <c r="BT202" i="1"/>
  <c r="BT204" i="1"/>
  <c r="BT206" i="1"/>
  <c r="BT208" i="1"/>
  <c r="BT210" i="1"/>
  <c r="BT212" i="1"/>
  <c r="BT214" i="1"/>
  <c r="BT216" i="1"/>
  <c r="BT218" i="1"/>
  <c r="BT82" i="1"/>
  <c r="BH4" i="1"/>
  <c r="BT92" i="1"/>
  <c r="BT94" i="1"/>
  <c r="BT96" i="1"/>
  <c r="BT102" i="1"/>
  <c r="BT106" i="1"/>
  <c r="BT112" i="1"/>
  <c r="BT122" i="1"/>
  <c r="BT128" i="1"/>
  <c r="BT130" i="1"/>
  <c r="BT144" i="1"/>
  <c r="BT146" i="1"/>
  <c r="BT148" i="1"/>
  <c r="BT150" i="1"/>
  <c r="BT152" i="1"/>
  <c r="BT154" i="1"/>
  <c r="BT156" i="1"/>
  <c r="BH81" i="1"/>
  <c r="BT98" i="1"/>
  <c r="BT100" i="1"/>
  <c r="BT104" i="1"/>
  <c r="BT108" i="1"/>
  <c r="BT110" i="1"/>
  <c r="BT114" i="1"/>
  <c r="BT120" i="1"/>
  <c r="BT132" i="1"/>
  <c r="BT138" i="1"/>
  <c r="BT140" i="1"/>
  <c r="BH7" i="1"/>
  <c r="AB7" i="1" s="1"/>
  <c r="BT8" i="1"/>
  <c r="BH11" i="1"/>
  <c r="BT12" i="1"/>
  <c r="BH15" i="1"/>
  <c r="AB15" i="1" s="1"/>
  <c r="BH20" i="1"/>
  <c r="BH26" i="1"/>
  <c r="AB26" i="1" s="1"/>
  <c r="BH28" i="1"/>
  <c r="BH32" i="1"/>
  <c r="BH36" i="1"/>
  <c r="BH42" i="1"/>
  <c r="AB42" i="1" s="1"/>
  <c r="BH44" i="1"/>
  <c r="BH52" i="1"/>
  <c r="BH58" i="1"/>
  <c r="BH60" i="1"/>
  <c r="BH62" i="1"/>
  <c r="AB62" i="1" s="1"/>
  <c r="BH64" i="1"/>
  <c r="BH66" i="1"/>
  <c r="AB66" i="1" s="1"/>
  <c r="BH68" i="1"/>
  <c r="BH70" i="1"/>
  <c r="AB70" i="1" s="1"/>
  <c r="BH72" i="1"/>
  <c r="BH74" i="1"/>
  <c r="AB74" i="1" s="1"/>
  <c r="BH76" i="1"/>
  <c r="BH78" i="1"/>
  <c r="AB78" i="1" s="1"/>
  <c r="BH80" i="1"/>
  <c r="BH82" i="1"/>
  <c r="AB82" i="1" s="1"/>
  <c r="BH84" i="1"/>
  <c r="BH86" i="1"/>
  <c r="AB86" i="1" s="1"/>
  <c r="BH88" i="1"/>
  <c r="BH90" i="1"/>
  <c r="AB90" i="1" s="1"/>
  <c r="BH96" i="1"/>
  <c r="BH98" i="1"/>
  <c r="AB98" i="1" s="1"/>
  <c r="BH100" i="1"/>
  <c r="BH102" i="1"/>
  <c r="BH104" i="1"/>
  <c r="BH106" i="1"/>
  <c r="BH108" i="1"/>
  <c r="BH110" i="1"/>
  <c r="BH112" i="1"/>
  <c r="AB112" i="1" s="1"/>
  <c r="BH114" i="1"/>
  <c r="AB114" i="1" s="1"/>
  <c r="BH116" i="1"/>
  <c r="BH118" i="1"/>
  <c r="BH120" i="1"/>
  <c r="BH122" i="1"/>
  <c r="BH124" i="1"/>
  <c r="BH126" i="1"/>
  <c r="BH128" i="1"/>
  <c r="BH130" i="1"/>
  <c r="BH132" i="1"/>
  <c r="BH134" i="1"/>
  <c r="BH136" i="1"/>
  <c r="BH138" i="1"/>
  <c r="AB138" i="1" s="1"/>
  <c r="BH140" i="1"/>
  <c r="BH142" i="1"/>
  <c r="BH144" i="1"/>
  <c r="AB144" i="1" s="1"/>
  <c r="BH146" i="1"/>
  <c r="BH148" i="1"/>
  <c r="BH150" i="1"/>
  <c r="BH152" i="1"/>
  <c r="AB152" i="1" s="1"/>
  <c r="BH154" i="1"/>
  <c r="BH156" i="1"/>
  <c r="BH158" i="1"/>
  <c r="BH160" i="1"/>
  <c r="BH162" i="1"/>
  <c r="BH164" i="1"/>
  <c r="BH166" i="1"/>
  <c r="BH168" i="1"/>
  <c r="AB168" i="1" s="1"/>
  <c r="BH170" i="1"/>
  <c r="AB170" i="1" s="1"/>
  <c r="BH172" i="1"/>
  <c r="AB172" i="1" s="1"/>
  <c r="BH174" i="1"/>
  <c r="BH176" i="1"/>
  <c r="AB176" i="1" s="1"/>
  <c r="BH178" i="1"/>
  <c r="AB178" i="1" s="1"/>
  <c r="BH180" i="1"/>
  <c r="AB180" i="1" s="1"/>
  <c r="BH182" i="1"/>
  <c r="BH184" i="1"/>
  <c r="AB184" i="1" s="1"/>
  <c r="BH186" i="1"/>
  <c r="AB186" i="1" s="1"/>
  <c r="BH188" i="1"/>
  <c r="AB188" i="1" s="1"/>
  <c r="BH190" i="1"/>
  <c r="BH192" i="1"/>
  <c r="AB192" i="1" s="1"/>
  <c r="BH194" i="1"/>
  <c r="AB194" i="1" s="1"/>
  <c r="BH196" i="1"/>
  <c r="AB196" i="1" s="1"/>
  <c r="BH198" i="1"/>
  <c r="BH200" i="1"/>
  <c r="AB200" i="1" s="1"/>
  <c r="BH202" i="1"/>
  <c r="BH204" i="1"/>
  <c r="AB204" i="1" s="1"/>
  <c r="BH206" i="1"/>
  <c r="BH208" i="1"/>
  <c r="AB208" i="1" s="1"/>
  <c r="BH210" i="1"/>
  <c r="AB210" i="1" s="1"/>
  <c r="BH212" i="1"/>
  <c r="AB212" i="1" s="1"/>
  <c r="BH214" i="1"/>
  <c r="BH216" i="1"/>
  <c r="AB216" i="1" s="1"/>
  <c r="BT34" i="1"/>
  <c r="BT46" i="1"/>
  <c r="BT116" i="1"/>
  <c r="BT118" i="1"/>
  <c r="BT124" i="1"/>
  <c r="BT126" i="1"/>
  <c r="BT134" i="1"/>
  <c r="BT136" i="1"/>
  <c r="BT142" i="1"/>
  <c r="BH5" i="1"/>
  <c r="AB5" i="1" s="1"/>
  <c r="BT6" i="1"/>
  <c r="BH9" i="1"/>
  <c r="AB9" i="1" s="1"/>
  <c r="BT10" i="1"/>
  <c r="BH13" i="1"/>
  <c r="AB13" i="1" s="1"/>
  <c r="BT14" i="1"/>
  <c r="BT16" i="1"/>
  <c r="BH17" i="1"/>
  <c r="AB17" i="1" s="1"/>
  <c r="BH19" i="1"/>
  <c r="BH24" i="1"/>
  <c r="BH30" i="1"/>
  <c r="BH34" i="1"/>
  <c r="BH38" i="1"/>
  <c r="AB38" i="1" s="1"/>
  <c r="BH40" i="1"/>
  <c r="BH46" i="1"/>
  <c r="BH48" i="1"/>
  <c r="BH50" i="1"/>
  <c r="BH54" i="1"/>
  <c r="AB54" i="1" s="1"/>
  <c r="BH56" i="1"/>
  <c r="BT4" i="1"/>
  <c r="BH6" i="1"/>
  <c r="BH8" i="1"/>
  <c r="BH10" i="1"/>
  <c r="BH12" i="1"/>
  <c r="BH14" i="1"/>
  <c r="BH16" i="1"/>
  <c r="BH18" i="1"/>
  <c r="BH161" i="1"/>
  <c r="BH163" i="1"/>
  <c r="BT163" i="1"/>
  <c r="BT164" i="1"/>
  <c r="BH165" i="1"/>
  <c r="BH167" i="1"/>
  <c r="BT167" i="1"/>
  <c r="BH169" i="1"/>
  <c r="BH171" i="1"/>
  <c r="BT171" i="1"/>
  <c r="BH173" i="1"/>
  <c r="BH175" i="1"/>
  <c r="BT175" i="1"/>
  <c r="BH177" i="1"/>
  <c r="BH179" i="1"/>
  <c r="BT179" i="1"/>
  <c r="BH181" i="1"/>
  <c r="BH183" i="1"/>
  <c r="BT183" i="1"/>
  <c r="BH185" i="1"/>
  <c r="BH187" i="1"/>
  <c r="BT187" i="1"/>
  <c r="BH189" i="1"/>
  <c r="BH191" i="1"/>
  <c r="BT191" i="1"/>
  <c r="BH193" i="1"/>
  <c r="BH195" i="1"/>
  <c r="BT195" i="1"/>
  <c r="BH197" i="1"/>
  <c r="BH199" i="1"/>
  <c r="BT199" i="1"/>
  <c r="BH201" i="1"/>
  <c r="BH203" i="1"/>
  <c r="BT203" i="1"/>
  <c r="BH205" i="1"/>
  <c r="BH207" i="1"/>
  <c r="BT207" i="1"/>
  <c r="BH209" i="1"/>
  <c r="BH211" i="1"/>
  <c r="BT211" i="1"/>
  <c r="BH213" i="1"/>
  <c r="BH215" i="1"/>
  <c r="BT215" i="1"/>
  <c r="BH217" i="1"/>
  <c r="BH219" i="1"/>
  <c r="BT219" i="1"/>
  <c r="BT220" i="1"/>
  <c r="BH221" i="1"/>
  <c r="BH223" i="1"/>
  <c r="BT223" i="1"/>
  <c r="BT224" i="1"/>
  <c r="BH225" i="1"/>
  <c r="BH227" i="1"/>
  <c r="BT227" i="1"/>
  <c r="BT228" i="1"/>
  <c r="BH229" i="1"/>
  <c r="BH231" i="1"/>
  <c r="BT231" i="1"/>
  <c r="BT232" i="1"/>
  <c r="BH233" i="1"/>
  <c r="BH235" i="1"/>
  <c r="BT235" i="1"/>
  <c r="BT236" i="1"/>
  <c r="BH237" i="1"/>
  <c r="BT244" i="1"/>
  <c r="BT246" i="1"/>
  <c r="BT248" i="1"/>
  <c r="BH218" i="1"/>
  <c r="AB218" i="1" s="1"/>
  <c r="BH220" i="1"/>
  <c r="BH222" i="1"/>
  <c r="BH224" i="1"/>
  <c r="BH226" i="1"/>
  <c r="BH228" i="1"/>
  <c r="BH230" i="1"/>
  <c r="BH232" i="1"/>
  <c r="BH234" i="1"/>
  <c r="BH236" i="1"/>
  <c r="BH238" i="1"/>
  <c r="BH240" i="1"/>
  <c r="AB240" i="1" s="1"/>
  <c r="BH242" i="1"/>
  <c r="AB242" i="1" s="1"/>
  <c r="BH244" i="1"/>
  <c r="AB244" i="1" s="1"/>
  <c r="BH246" i="1"/>
  <c r="AB246" i="1" s="1"/>
  <c r="BH248" i="1"/>
  <c r="AB248" i="1" s="1"/>
  <c r="BH250" i="1"/>
  <c r="BH252" i="1"/>
  <c r="BH254" i="1"/>
  <c r="BH256" i="1"/>
  <c r="BH258" i="1"/>
  <c r="AB258" i="1" s="1"/>
  <c r="BT21" i="1"/>
  <c r="AB21" i="1" s="1"/>
  <c r="BT27" i="1"/>
  <c r="AB27" i="1" s="1"/>
  <c r="BT28" i="1"/>
  <c r="BT35" i="1"/>
  <c r="BT36" i="1"/>
  <c r="BT43" i="1"/>
  <c r="AB43" i="1" s="1"/>
  <c r="BT44" i="1"/>
  <c r="BT51" i="1"/>
  <c r="AB51" i="1" s="1"/>
  <c r="BT52" i="1"/>
  <c r="BT59" i="1"/>
  <c r="AB59" i="1" s="1"/>
  <c r="BT60" i="1"/>
  <c r="BT67" i="1"/>
  <c r="AB67" i="1" s="1"/>
  <c r="BT68" i="1"/>
  <c r="BT75" i="1"/>
  <c r="AB75" i="1" s="1"/>
  <c r="BT76" i="1"/>
  <c r="BT83" i="1"/>
  <c r="BT84" i="1"/>
  <c r="BT18" i="1"/>
  <c r="BT19" i="1"/>
  <c r="BT23" i="1"/>
  <c r="BT24" i="1"/>
  <c r="BT31" i="1"/>
  <c r="AB31" i="1" s="1"/>
  <c r="BT32" i="1"/>
  <c r="BT39" i="1"/>
  <c r="AB39" i="1" s="1"/>
  <c r="BT40" i="1"/>
  <c r="BT47" i="1"/>
  <c r="AB47" i="1" s="1"/>
  <c r="BT48" i="1"/>
  <c r="BT55" i="1"/>
  <c r="AB55" i="1" s="1"/>
  <c r="BT56" i="1"/>
  <c r="BT63" i="1"/>
  <c r="AB63" i="1" s="1"/>
  <c r="BT64" i="1"/>
  <c r="BT71" i="1"/>
  <c r="AB71" i="1" s="1"/>
  <c r="BT72" i="1"/>
  <c r="BT79" i="1"/>
  <c r="AB79" i="1" s="1"/>
  <c r="BT80" i="1"/>
  <c r="BT87" i="1"/>
  <c r="BT88" i="1"/>
  <c r="BT91" i="1"/>
  <c r="AB91" i="1" s="1"/>
  <c r="BH94" i="1"/>
  <c r="AB94" i="1" s="1"/>
  <c r="BT97" i="1"/>
  <c r="BT105" i="1"/>
  <c r="AB105" i="1" s="1"/>
  <c r="BT113" i="1"/>
  <c r="AB113" i="1" s="1"/>
  <c r="BT121" i="1"/>
  <c r="AB121" i="1" s="1"/>
  <c r="BT129" i="1"/>
  <c r="AB129" i="1" s="1"/>
  <c r="BT137" i="1"/>
  <c r="AB137" i="1" s="1"/>
  <c r="BT145" i="1"/>
  <c r="AB145" i="1" s="1"/>
  <c r="BT153" i="1"/>
  <c r="BT161" i="1"/>
  <c r="BT162" i="1"/>
  <c r="BT169" i="1"/>
  <c r="BT177" i="1"/>
  <c r="BT185" i="1"/>
  <c r="BT193" i="1"/>
  <c r="BT201" i="1"/>
  <c r="BT209" i="1"/>
  <c r="BT217" i="1"/>
  <c r="BT225" i="1"/>
  <c r="BT226" i="1"/>
  <c r="BT233" i="1"/>
  <c r="BT234" i="1"/>
  <c r="BT241" i="1"/>
  <c r="BT249" i="1"/>
  <c r="AB249" i="1" s="1"/>
  <c r="BT250" i="1"/>
  <c r="BT257" i="1"/>
  <c r="AB257" i="1" s="1"/>
  <c r="BT243" i="1"/>
  <c r="AB243" i="1" s="1"/>
  <c r="BT251" i="1"/>
  <c r="AB251" i="1" s="1"/>
  <c r="BT259" i="1"/>
  <c r="AB259" i="1" s="1"/>
  <c r="BH92" i="1"/>
  <c r="BT93" i="1"/>
  <c r="BT101" i="1"/>
  <c r="AB101" i="1" s="1"/>
  <c r="BT109" i="1"/>
  <c r="AB109" i="1" s="1"/>
  <c r="BT117" i="1"/>
  <c r="AB117" i="1" s="1"/>
  <c r="BT125" i="1"/>
  <c r="AB125" i="1" s="1"/>
  <c r="BT133" i="1"/>
  <c r="AB133" i="1" s="1"/>
  <c r="BT141" i="1"/>
  <c r="AB141" i="1" s="1"/>
  <c r="BT149" i="1"/>
  <c r="AB149" i="1" s="1"/>
  <c r="BT157" i="1"/>
  <c r="BT158" i="1"/>
  <c r="BT165" i="1"/>
  <c r="BT173" i="1"/>
  <c r="BT181" i="1"/>
  <c r="BT189" i="1"/>
  <c r="BT197" i="1"/>
  <c r="BT205" i="1"/>
  <c r="BT213" i="1"/>
  <c r="BT221" i="1"/>
  <c r="BT222" i="1"/>
  <c r="BT229" i="1"/>
  <c r="BT230" i="1"/>
  <c r="BT237" i="1"/>
  <c r="BT238" i="1"/>
  <c r="BT245" i="1"/>
  <c r="AB245" i="1" s="1"/>
  <c r="BT253" i="1"/>
  <c r="AB253" i="1" s="1"/>
  <c r="BT254" i="1"/>
  <c r="AJ25" i="1"/>
  <c r="AJ9" i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4" i="1"/>
  <c r="AD244" i="1" s="1"/>
  <c r="AC243" i="1"/>
  <c r="AD243" i="1" s="1"/>
  <c r="AC242" i="1"/>
  <c r="AC241" i="1"/>
  <c r="AD241" i="1" s="1"/>
  <c r="AC240" i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1" i="1"/>
  <c r="AD231" i="1" s="1"/>
  <c r="AC230" i="1"/>
  <c r="AD230" i="1" s="1"/>
  <c r="AC229" i="1"/>
  <c r="AC259" i="1"/>
  <c r="AD259" i="1" s="1"/>
  <c r="AC258" i="1"/>
  <c r="AD258" i="1" s="1"/>
  <c r="AC257" i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20" i="1"/>
  <c r="AD220" i="1" s="1"/>
  <c r="AC219" i="1"/>
  <c r="AD219" i="1" s="1"/>
  <c r="AC218" i="1"/>
  <c r="AD218" i="1" s="1"/>
  <c r="AC217" i="1"/>
  <c r="AD217" i="1" s="1"/>
  <c r="AC216" i="1"/>
  <c r="AD216" i="1" s="1"/>
  <c r="AC215" i="1"/>
  <c r="AC256" i="1"/>
  <c r="AD256" i="1" s="1"/>
  <c r="AC255" i="1"/>
  <c r="AD255" i="1" s="1"/>
  <c r="AC254" i="1"/>
  <c r="AD254" i="1" s="1"/>
  <c r="AC253" i="1"/>
  <c r="AD253" i="1" s="1"/>
  <c r="AC252" i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204" i="1"/>
  <c r="AD204" i="1" s="1"/>
  <c r="AC203" i="1"/>
  <c r="AC201" i="1"/>
  <c r="AD201" i="1" s="1"/>
  <c r="AC200" i="1"/>
  <c r="AD200" i="1" s="1"/>
  <c r="AC199" i="1"/>
  <c r="AD199" i="1" s="1"/>
  <c r="AC198" i="1"/>
  <c r="AD198" i="1" s="1"/>
  <c r="AC197" i="1"/>
  <c r="AD197" i="1" s="1"/>
  <c r="AC196" i="1"/>
  <c r="AD196" i="1" s="1"/>
  <c r="AC195" i="1"/>
  <c r="AD195" i="1" s="1"/>
  <c r="AC194" i="1"/>
  <c r="AD194" i="1" s="1"/>
  <c r="AC193" i="1"/>
  <c r="AD193" i="1" s="1"/>
  <c r="AC192" i="1"/>
  <c r="AD192" i="1" s="1"/>
  <c r="AC191" i="1"/>
  <c r="AD191" i="1" s="1"/>
  <c r="AC190" i="1"/>
  <c r="AD190" i="1" s="1"/>
  <c r="AC189" i="1"/>
  <c r="AD189" i="1" s="1"/>
  <c r="AC188" i="1"/>
  <c r="AD188" i="1" s="1"/>
  <c r="AC187" i="1"/>
  <c r="AD187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5" i="1"/>
  <c r="AD175" i="1" s="1"/>
  <c r="AC174" i="1"/>
  <c r="AD174" i="1" s="1"/>
  <c r="AC173" i="1"/>
  <c r="AD173" i="1" s="1"/>
  <c r="AC172" i="1"/>
  <c r="AD172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60" i="1"/>
  <c r="AD160" i="1" s="1"/>
  <c r="AC159" i="1"/>
  <c r="AD159" i="1" s="1"/>
  <c r="AC158" i="1"/>
  <c r="AD158" i="1" s="1"/>
  <c r="AC157" i="1"/>
  <c r="AD157" i="1" s="1"/>
  <c r="AC156" i="1"/>
  <c r="AD156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6" i="1"/>
  <c r="AD146" i="1" s="1"/>
  <c r="AC145" i="1"/>
  <c r="AD145" i="1" s="1"/>
  <c r="AC144" i="1"/>
  <c r="AD144" i="1" s="1"/>
  <c r="AC143" i="1"/>
  <c r="AD143" i="1" s="1"/>
  <c r="AC142" i="1"/>
  <c r="AD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8" i="1"/>
  <c r="AD128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8" i="1"/>
  <c r="AD98" i="1" s="1"/>
  <c r="AC96" i="1"/>
  <c r="AD96" i="1" s="1"/>
  <c r="AC95" i="1"/>
  <c r="AD95" i="1" s="1"/>
  <c r="AC94" i="1"/>
  <c r="AC92" i="1"/>
  <c r="AD92" i="1" s="1"/>
  <c r="AC91" i="1"/>
  <c r="AD91" i="1" s="1"/>
  <c r="AC90" i="1"/>
  <c r="AD90" i="1" s="1"/>
  <c r="AC89" i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C63" i="1"/>
  <c r="AD63" i="1" s="1"/>
  <c r="AC62" i="1"/>
  <c r="AD62" i="1" s="1"/>
  <c r="AC61" i="1"/>
  <c r="AD61" i="1" s="1"/>
  <c r="AC60" i="1"/>
  <c r="AD60" i="1" s="1"/>
  <c r="AC59" i="1"/>
  <c r="AC57" i="1"/>
  <c r="AD57" i="1" s="1"/>
  <c r="AC56" i="1"/>
  <c r="AD56" i="1" s="1"/>
  <c r="AC55" i="1"/>
  <c r="AD55" i="1" s="1"/>
  <c r="AC54" i="1"/>
  <c r="AD54" i="1" s="1"/>
  <c r="AC53" i="1"/>
  <c r="AD53" i="1" s="1"/>
  <c r="AC52" i="1"/>
  <c r="AD52" i="1" s="1"/>
  <c r="AC51" i="1"/>
  <c r="AC49" i="1"/>
  <c r="AD49" i="1" s="1"/>
  <c r="AC48" i="1"/>
  <c r="AD48" i="1" s="1"/>
  <c r="AC47" i="1"/>
  <c r="AD47" i="1" s="1"/>
  <c r="AC46" i="1"/>
  <c r="AD46" i="1" s="1"/>
  <c r="AC45" i="1"/>
  <c r="AC43" i="1"/>
  <c r="AD43" i="1" s="1"/>
  <c r="AC42" i="1"/>
  <c r="AD42" i="1" s="1"/>
  <c r="AC41" i="1"/>
  <c r="AC39" i="1"/>
  <c r="AD39" i="1" s="1"/>
  <c r="AC38" i="1"/>
  <c r="AD38" i="1" s="1"/>
  <c r="AC37" i="1"/>
  <c r="AD37" i="1" s="1"/>
  <c r="AC36" i="1"/>
  <c r="AC34" i="1"/>
  <c r="AD34" i="1" s="1"/>
  <c r="AC33" i="1"/>
  <c r="AD33" i="1" s="1"/>
  <c r="AC32" i="1"/>
  <c r="AD32" i="1" s="1"/>
  <c r="AC31" i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C7" i="1"/>
  <c r="AD7" i="1" s="1"/>
  <c r="AC6" i="1"/>
  <c r="AD6" i="1" s="1"/>
  <c r="AC5" i="1"/>
  <c r="AD5" i="1" s="1"/>
  <c r="AC4" i="1"/>
  <c r="AD4" i="1" s="1"/>
  <c r="T6" i="7" l="1"/>
  <c r="T5" i="7"/>
  <c r="S44" i="6"/>
  <c r="S28" i="6"/>
  <c r="S12" i="6"/>
  <c r="S33" i="6"/>
  <c r="S17" i="6"/>
  <c r="S36" i="6"/>
  <c r="S20" i="6"/>
  <c r="U12" i="5"/>
  <c r="U10" i="5"/>
  <c r="U8" i="5"/>
  <c r="U13" i="5"/>
  <c r="U11" i="5"/>
  <c r="U9" i="5"/>
  <c r="U7" i="5"/>
  <c r="Z97" i="4"/>
  <c r="Z89" i="4"/>
  <c r="Z73" i="4"/>
  <c r="Z168" i="4"/>
  <c r="Z271" i="4"/>
  <c r="Z231" i="4"/>
  <c r="Z217" i="4"/>
  <c r="Z199" i="4"/>
  <c r="Z153" i="4"/>
  <c r="Z144" i="4"/>
  <c r="Z71" i="4"/>
  <c r="Z62" i="4"/>
  <c r="Z58" i="4"/>
  <c r="Z54" i="4"/>
  <c r="Z50" i="4"/>
  <c r="Z46" i="4"/>
  <c r="Z42" i="4"/>
  <c r="Z38" i="4"/>
  <c r="Z34" i="4"/>
  <c r="Z30" i="4"/>
  <c r="Z26" i="4"/>
  <c r="Z22" i="4"/>
  <c r="Z18" i="4"/>
  <c r="Z14" i="4"/>
  <c r="Z10" i="4"/>
  <c r="Z264" i="4"/>
  <c r="Z256" i="4"/>
  <c r="Z248" i="4"/>
  <c r="Z265" i="4"/>
  <c r="Z249" i="4"/>
  <c r="Z235" i="4"/>
  <c r="Z203" i="4"/>
  <c r="Z242" i="4"/>
  <c r="Z238" i="4"/>
  <c r="Z228" i="4"/>
  <c r="Z224" i="4"/>
  <c r="Z210" i="4"/>
  <c r="Z206" i="4"/>
  <c r="Z196" i="4"/>
  <c r="Z192" i="4"/>
  <c r="Z125" i="4"/>
  <c r="Z6" i="4"/>
  <c r="Z94" i="4"/>
  <c r="Z148" i="4"/>
  <c r="Z139" i="4"/>
  <c r="Z126" i="4"/>
  <c r="Z110" i="4"/>
  <c r="Z100" i="4"/>
  <c r="Z88" i="4"/>
  <c r="Z9" i="4"/>
  <c r="Z119" i="4"/>
  <c r="Z63" i="4"/>
  <c r="Z55" i="4"/>
  <c r="Z47" i="4"/>
  <c r="Z31" i="4"/>
  <c r="Z23" i="4"/>
  <c r="Z15" i="4"/>
  <c r="Z263" i="4"/>
  <c r="Z247" i="4"/>
  <c r="Z229" i="4"/>
  <c r="Z197" i="4"/>
  <c r="Z165" i="4"/>
  <c r="Z132" i="4"/>
  <c r="Z124" i="4"/>
  <c r="Z16" i="4"/>
  <c r="Z8" i="4"/>
  <c r="AB250" i="1"/>
  <c r="AB206" i="1"/>
  <c r="AB198" i="1"/>
  <c r="AB190" i="1"/>
  <c r="AB182" i="1"/>
  <c r="AB174" i="1"/>
  <c r="AB37" i="1"/>
  <c r="AB238" i="1"/>
  <c r="AB230" i="1"/>
  <c r="AB222" i="1"/>
  <c r="AB148" i="1"/>
  <c r="AB211" i="1"/>
  <c r="AB205" i="1"/>
  <c r="AB195" i="1"/>
  <c r="AB179" i="1"/>
  <c r="AB173" i="1"/>
  <c r="AB16" i="1"/>
  <c r="AB24" i="1"/>
  <c r="AB110" i="1"/>
  <c r="AB247" i="1"/>
  <c r="AB97" i="1"/>
  <c r="AB23" i="1"/>
  <c r="P28" i="10"/>
  <c r="P20" i="10"/>
  <c r="P12" i="10"/>
  <c r="P29" i="10"/>
  <c r="P21" i="10"/>
  <c r="P24" i="10"/>
  <c r="P16" i="10"/>
  <c r="P8" i="10"/>
  <c r="Z189" i="4"/>
  <c r="Z270" i="4"/>
  <c r="Z254" i="4"/>
  <c r="Z233" i="4"/>
  <c r="Z215" i="4"/>
  <c r="Z183" i="4"/>
  <c r="Z218" i="4"/>
  <c r="Z186" i="4"/>
  <c r="Z108" i="4"/>
  <c r="Z98" i="4"/>
  <c r="Z74" i="4"/>
  <c r="Z37" i="4"/>
  <c r="Z13" i="4"/>
  <c r="Z260" i="4"/>
  <c r="Z257" i="4"/>
  <c r="Z241" i="4"/>
  <c r="Z237" i="4"/>
  <c r="Z223" i="4"/>
  <c r="Z219" i="4"/>
  <c r="Z209" i="4"/>
  <c r="Z205" i="4"/>
  <c r="Z187" i="4"/>
  <c r="Z173" i="4"/>
  <c r="Z246" i="4"/>
  <c r="Z240" i="4"/>
  <c r="Z226" i="4"/>
  <c r="Z222" i="4"/>
  <c r="Z212" i="4"/>
  <c r="Z208" i="4"/>
  <c r="Z194" i="4"/>
  <c r="Z190" i="4"/>
  <c r="Z90" i="4"/>
  <c r="Z82" i="4"/>
  <c r="Z141" i="4"/>
  <c r="Z129" i="4"/>
  <c r="Z121" i="4"/>
  <c r="Z113" i="4"/>
  <c r="Z59" i="4"/>
  <c r="Z51" i="4"/>
  <c r="Z43" i="4"/>
  <c r="Z35" i="4"/>
  <c r="Z27" i="4"/>
  <c r="Z19" i="4"/>
  <c r="Z11" i="4"/>
  <c r="Z134" i="4"/>
  <c r="Z201" i="4"/>
  <c r="Z266" i="4"/>
  <c r="Z258" i="4"/>
  <c r="Z267" i="4"/>
  <c r="Z261" i="4"/>
  <c r="Z255" i="4"/>
  <c r="Z251" i="4"/>
  <c r="Z245" i="4"/>
  <c r="Z227" i="4"/>
  <c r="Z213" i="4"/>
  <c r="Z195" i="4"/>
  <c r="Z181" i="4"/>
  <c r="Z244" i="4"/>
  <c r="Z234" i="4"/>
  <c r="Z230" i="4"/>
  <c r="Z220" i="4"/>
  <c r="Z216" i="4"/>
  <c r="Z202" i="4"/>
  <c r="Z198" i="4"/>
  <c r="Z188" i="4"/>
  <c r="Z184" i="4"/>
  <c r="Z68" i="4"/>
  <c r="Z149" i="4"/>
  <c r="Z135" i="4"/>
  <c r="Z92" i="4"/>
  <c r="Z78" i="4"/>
  <c r="Z70" i="4"/>
  <c r="Z65" i="4"/>
  <c r="Z57" i="4"/>
  <c r="Z49" i="4"/>
  <c r="Z41" i="4"/>
  <c r="Z33" i="4"/>
  <c r="Z25" i="4"/>
  <c r="Z17" i="4"/>
  <c r="Z164" i="4"/>
  <c r="Z221" i="4"/>
  <c r="Z157" i="4"/>
  <c r="Z118" i="4"/>
  <c r="Z39" i="4"/>
  <c r="AB241" i="1"/>
  <c r="AB252" i="1"/>
  <c r="AB209" i="1"/>
  <c r="AB177" i="1"/>
  <c r="AB19" i="1"/>
  <c r="AB140" i="1"/>
  <c r="AB132" i="1"/>
  <c r="AB124" i="1"/>
  <c r="AB108" i="1"/>
  <c r="AB100" i="1"/>
  <c r="AB80" i="1"/>
  <c r="AB72" i="1"/>
  <c r="AB52" i="1"/>
  <c r="AB32" i="1"/>
  <c r="AB139" i="1"/>
  <c r="AB123" i="1"/>
  <c r="AB107" i="1"/>
  <c r="AB77" i="1"/>
  <c r="AB69" i="1"/>
  <c r="AB65" i="1"/>
  <c r="AB61" i="1"/>
  <c r="AB57" i="1"/>
  <c r="AB53" i="1"/>
  <c r="AB49" i="1"/>
  <c r="AB87" i="1"/>
  <c r="AB83" i="1"/>
  <c r="AB146" i="1"/>
  <c r="AB122" i="1"/>
  <c r="AB28" i="1"/>
  <c r="AB111" i="1"/>
  <c r="AB95" i="1"/>
  <c r="AB256" i="1"/>
  <c r="AB96" i="1"/>
  <c r="AB11" i="1"/>
  <c r="AB4" i="1"/>
  <c r="AB147" i="1"/>
  <c r="AB131" i="1"/>
  <c r="AB115" i="1"/>
  <c r="AB99" i="1"/>
  <c r="AB89" i="1"/>
  <c r="AB85" i="1"/>
  <c r="AB33" i="1"/>
  <c r="AB29" i="1"/>
  <c r="AB25" i="1"/>
  <c r="AB189" i="1"/>
  <c r="AB236" i="1"/>
  <c r="AB220" i="1"/>
  <c r="AB215" i="1"/>
  <c r="AB199" i="1"/>
  <c r="AB6" i="1"/>
  <c r="AB130" i="1"/>
  <c r="AB92" i="1"/>
  <c r="AB234" i="1"/>
  <c r="AB226" i="1"/>
  <c r="AB235" i="1"/>
  <c r="AB231" i="1"/>
  <c r="AB227" i="1"/>
  <c r="AB223" i="1"/>
  <c r="AB219" i="1"/>
  <c r="AB213" i="1"/>
  <c r="AB203" i="1"/>
  <c r="AB197" i="1"/>
  <c r="AB187" i="1"/>
  <c r="AB181" i="1"/>
  <c r="AB171" i="1"/>
  <c r="AB12" i="1"/>
  <c r="AB48" i="1"/>
  <c r="AB34" i="1"/>
  <c r="AB136" i="1"/>
  <c r="AB128" i="1"/>
  <c r="AB120" i="1"/>
  <c r="AB104" i="1"/>
  <c r="AB84" i="1"/>
  <c r="AB76" i="1"/>
  <c r="AB68" i="1"/>
  <c r="AB60" i="1"/>
  <c r="AB254" i="1"/>
  <c r="AB116" i="1"/>
  <c r="AB193" i="1"/>
  <c r="AB183" i="1"/>
  <c r="AB167" i="1"/>
  <c r="AB14" i="1"/>
  <c r="AB232" i="1"/>
  <c r="AB224" i="1"/>
  <c r="AB237" i="1"/>
  <c r="AB233" i="1"/>
  <c r="AB229" i="1"/>
  <c r="AB225" i="1"/>
  <c r="AB221" i="1"/>
  <c r="AB217" i="1"/>
  <c r="AB207" i="1"/>
  <c r="AB201" i="1"/>
  <c r="AB191" i="1"/>
  <c r="AB185" i="1"/>
  <c r="AB175" i="1"/>
  <c r="AB169" i="1"/>
  <c r="AB18" i="1"/>
  <c r="AB10" i="1"/>
  <c r="AB56" i="1"/>
  <c r="AB46" i="1"/>
  <c r="AB150" i="1"/>
  <c r="AB142" i="1"/>
  <c r="AB134" i="1"/>
  <c r="AB126" i="1"/>
  <c r="AB118" i="1"/>
  <c r="AB102" i="1"/>
  <c r="AB36" i="1"/>
  <c r="AE260" i="1"/>
  <c r="AF8" i="1"/>
  <c r="AE40" i="1"/>
  <c r="AD94" i="1"/>
  <c r="AD21" i="1"/>
  <c r="AF30" i="1" s="1"/>
  <c r="AE30" i="1"/>
  <c r="AD36" i="1"/>
  <c r="AF40" i="1" s="1"/>
  <c r="AD51" i="1"/>
  <c r="AF58" i="1" s="1"/>
  <c r="AE58" i="1"/>
  <c r="AE88" i="1"/>
  <c r="AD257" i="1"/>
  <c r="AD242" i="1"/>
  <c r="AD31" i="1"/>
  <c r="AF35" i="1" s="1"/>
  <c r="AE35" i="1"/>
  <c r="AD41" i="1"/>
  <c r="AF44" i="1" s="1"/>
  <c r="AE44" i="1"/>
  <c r="AD45" i="1"/>
  <c r="AF50" i="1" s="1"/>
  <c r="AE50" i="1"/>
  <c r="AD65" i="1"/>
  <c r="AF73" i="1" s="1"/>
  <c r="AE73" i="1"/>
  <c r="AE81" i="1"/>
  <c r="AD82" i="1"/>
  <c r="AF88" i="1" s="1"/>
  <c r="AD89" i="1"/>
  <c r="AF93" i="1" s="1"/>
  <c r="AE93" i="1"/>
  <c r="AD107" i="1"/>
  <c r="AF119" i="1" s="1"/>
  <c r="AE119" i="1"/>
  <c r="AD215" i="1"/>
  <c r="AD203" i="1"/>
  <c r="AF214" i="1" s="1"/>
  <c r="AE214" i="1"/>
  <c r="AD252" i="1"/>
  <c r="AD229" i="1"/>
  <c r="AF239" i="1" s="1"/>
  <c r="AE239" i="1"/>
  <c r="AE8" i="1"/>
  <c r="AD9" i="1"/>
  <c r="AF20" i="1" s="1"/>
  <c r="AE20" i="1"/>
  <c r="AD59" i="1"/>
  <c r="AF64" i="1" s="1"/>
  <c r="AE64" i="1"/>
  <c r="AD74" i="1"/>
  <c r="AF81" i="1" s="1"/>
  <c r="AD120" i="1"/>
  <c r="AF202" i="1" s="1"/>
  <c r="AE202" i="1"/>
  <c r="AD240" i="1"/>
  <c r="AR251" i="1"/>
  <c r="AQ251" i="1"/>
  <c r="AP251" i="1"/>
  <c r="AO251" i="1"/>
  <c r="AN251" i="1"/>
  <c r="AM251" i="1"/>
  <c r="AL251" i="1"/>
  <c r="AK251" i="1"/>
  <c r="AJ251" i="1"/>
  <c r="AR250" i="1"/>
  <c r="AQ250" i="1"/>
  <c r="AP250" i="1"/>
  <c r="AO250" i="1"/>
  <c r="AN250" i="1"/>
  <c r="AM250" i="1"/>
  <c r="AL250" i="1"/>
  <c r="AK250" i="1"/>
  <c r="AJ250" i="1"/>
  <c r="G250" i="1"/>
  <c r="F250" i="1"/>
  <c r="AR249" i="1"/>
  <c r="AQ249" i="1"/>
  <c r="AP249" i="1"/>
  <c r="AO249" i="1"/>
  <c r="AN249" i="1"/>
  <c r="AM249" i="1"/>
  <c r="AL249" i="1"/>
  <c r="AK249" i="1"/>
  <c r="AJ249" i="1"/>
  <c r="G249" i="1"/>
  <c r="F249" i="1"/>
  <c r="AR248" i="1"/>
  <c r="AQ248" i="1"/>
  <c r="AP248" i="1"/>
  <c r="AO248" i="1"/>
  <c r="AN248" i="1"/>
  <c r="AM248" i="1"/>
  <c r="AL248" i="1"/>
  <c r="AK248" i="1"/>
  <c r="AJ248" i="1"/>
  <c r="G248" i="1"/>
  <c r="F248" i="1"/>
  <c r="AR247" i="1"/>
  <c r="AQ247" i="1"/>
  <c r="AP247" i="1"/>
  <c r="AO247" i="1"/>
  <c r="AN247" i="1"/>
  <c r="AM247" i="1"/>
  <c r="AL247" i="1"/>
  <c r="AK247" i="1"/>
  <c r="AJ247" i="1"/>
  <c r="G247" i="1"/>
  <c r="F247" i="1"/>
  <c r="AR246" i="1"/>
  <c r="AQ246" i="1"/>
  <c r="AP246" i="1"/>
  <c r="AO246" i="1"/>
  <c r="AN246" i="1"/>
  <c r="AM246" i="1"/>
  <c r="AL246" i="1"/>
  <c r="AK246" i="1"/>
  <c r="AJ246" i="1"/>
  <c r="G246" i="1"/>
  <c r="F246" i="1"/>
  <c r="AR245" i="1"/>
  <c r="AQ245" i="1"/>
  <c r="AP245" i="1"/>
  <c r="AO245" i="1"/>
  <c r="AN245" i="1"/>
  <c r="AM245" i="1"/>
  <c r="AL245" i="1"/>
  <c r="AK245" i="1"/>
  <c r="AJ245" i="1"/>
  <c r="AR244" i="1"/>
  <c r="AQ244" i="1"/>
  <c r="AP244" i="1"/>
  <c r="AO244" i="1"/>
  <c r="AN244" i="1"/>
  <c r="AM244" i="1"/>
  <c r="AL244" i="1"/>
  <c r="AK244" i="1"/>
  <c r="AJ244" i="1"/>
  <c r="G244" i="1"/>
  <c r="F244" i="1"/>
  <c r="AR243" i="1"/>
  <c r="AQ243" i="1"/>
  <c r="AP243" i="1"/>
  <c r="AO243" i="1"/>
  <c r="AN243" i="1"/>
  <c r="AM243" i="1"/>
  <c r="AL243" i="1"/>
  <c r="AK243" i="1"/>
  <c r="AJ243" i="1"/>
  <c r="G243" i="1"/>
  <c r="F243" i="1"/>
  <c r="AR242" i="1"/>
  <c r="AQ242" i="1"/>
  <c r="AP242" i="1"/>
  <c r="AO242" i="1"/>
  <c r="AN242" i="1"/>
  <c r="AM242" i="1"/>
  <c r="AL242" i="1"/>
  <c r="AK242" i="1"/>
  <c r="AJ242" i="1"/>
  <c r="AR241" i="1"/>
  <c r="AQ241" i="1"/>
  <c r="AP241" i="1"/>
  <c r="AO241" i="1"/>
  <c r="AN241" i="1"/>
  <c r="AM241" i="1"/>
  <c r="AL241" i="1"/>
  <c r="AK241" i="1"/>
  <c r="AJ241" i="1"/>
  <c r="AR240" i="1"/>
  <c r="AQ240" i="1"/>
  <c r="AP240" i="1"/>
  <c r="AO240" i="1"/>
  <c r="AN240" i="1"/>
  <c r="AM240" i="1"/>
  <c r="AL240" i="1"/>
  <c r="AK240" i="1"/>
  <c r="AJ240" i="1"/>
  <c r="AR238" i="1"/>
  <c r="AQ238" i="1"/>
  <c r="AP238" i="1"/>
  <c r="AO238" i="1"/>
  <c r="AN238" i="1"/>
  <c r="AM238" i="1"/>
  <c r="AL238" i="1"/>
  <c r="AK238" i="1"/>
  <c r="AJ238" i="1"/>
  <c r="G238" i="1"/>
  <c r="F238" i="1"/>
  <c r="AR237" i="1"/>
  <c r="AQ237" i="1"/>
  <c r="AP237" i="1"/>
  <c r="AO237" i="1"/>
  <c r="AN237" i="1"/>
  <c r="AM237" i="1"/>
  <c r="AL237" i="1"/>
  <c r="AK237" i="1"/>
  <c r="AJ237" i="1"/>
  <c r="G237" i="1"/>
  <c r="F237" i="1"/>
  <c r="AR236" i="1"/>
  <c r="AQ236" i="1"/>
  <c r="AP236" i="1"/>
  <c r="AO236" i="1"/>
  <c r="AN236" i="1"/>
  <c r="AM236" i="1"/>
  <c r="AL236" i="1"/>
  <c r="AK236" i="1"/>
  <c r="AJ236" i="1"/>
  <c r="G236" i="1"/>
  <c r="F236" i="1"/>
  <c r="AR235" i="1"/>
  <c r="AQ235" i="1"/>
  <c r="AP235" i="1"/>
  <c r="AO235" i="1"/>
  <c r="AN235" i="1"/>
  <c r="AM235" i="1"/>
  <c r="AL235" i="1"/>
  <c r="AK235" i="1"/>
  <c r="AJ235" i="1"/>
  <c r="G235" i="1"/>
  <c r="F235" i="1"/>
  <c r="AR234" i="1"/>
  <c r="AQ234" i="1"/>
  <c r="AP234" i="1"/>
  <c r="AO234" i="1"/>
  <c r="AN234" i="1"/>
  <c r="AM234" i="1"/>
  <c r="AL234" i="1"/>
  <c r="AK234" i="1"/>
  <c r="AJ234" i="1"/>
  <c r="G234" i="1"/>
  <c r="F234" i="1"/>
  <c r="AR233" i="1"/>
  <c r="AQ233" i="1"/>
  <c r="AP233" i="1"/>
  <c r="AO233" i="1"/>
  <c r="AN233" i="1"/>
  <c r="AM233" i="1"/>
  <c r="AL233" i="1"/>
  <c r="AK233" i="1"/>
  <c r="AJ233" i="1"/>
  <c r="G233" i="1"/>
  <c r="F233" i="1"/>
  <c r="AR232" i="1"/>
  <c r="AQ232" i="1"/>
  <c r="AP232" i="1"/>
  <c r="AO232" i="1"/>
  <c r="AN232" i="1"/>
  <c r="AM232" i="1"/>
  <c r="AL232" i="1"/>
  <c r="AK232" i="1"/>
  <c r="AJ232" i="1"/>
  <c r="G232" i="1"/>
  <c r="F232" i="1"/>
  <c r="AR231" i="1"/>
  <c r="AQ231" i="1"/>
  <c r="AP231" i="1"/>
  <c r="AO231" i="1"/>
  <c r="AN231" i="1"/>
  <c r="AM231" i="1"/>
  <c r="AL231" i="1"/>
  <c r="AK231" i="1"/>
  <c r="AJ231" i="1"/>
  <c r="G231" i="1"/>
  <c r="F231" i="1"/>
  <c r="AR230" i="1"/>
  <c r="AQ230" i="1"/>
  <c r="AP230" i="1"/>
  <c r="AO230" i="1"/>
  <c r="AN230" i="1"/>
  <c r="AM230" i="1"/>
  <c r="AL230" i="1"/>
  <c r="AK230" i="1"/>
  <c r="AJ230" i="1"/>
  <c r="G230" i="1"/>
  <c r="F230" i="1"/>
  <c r="AR229" i="1"/>
  <c r="AQ229" i="1"/>
  <c r="AP229" i="1"/>
  <c r="AO229" i="1"/>
  <c r="AN229" i="1"/>
  <c r="AM229" i="1"/>
  <c r="AL229" i="1"/>
  <c r="AK229" i="1"/>
  <c r="AJ229" i="1"/>
  <c r="G229" i="1"/>
  <c r="F229" i="1"/>
  <c r="AR259" i="1"/>
  <c r="AQ259" i="1"/>
  <c r="AP259" i="1"/>
  <c r="AO259" i="1"/>
  <c r="AN259" i="1"/>
  <c r="AM259" i="1"/>
  <c r="AL259" i="1"/>
  <c r="AK259" i="1"/>
  <c r="AJ259" i="1"/>
  <c r="G259" i="1"/>
  <c r="F259" i="1"/>
  <c r="AR258" i="1"/>
  <c r="AQ258" i="1"/>
  <c r="AP258" i="1"/>
  <c r="AO258" i="1"/>
  <c r="AN258" i="1"/>
  <c r="AM258" i="1"/>
  <c r="AL258" i="1"/>
  <c r="AK258" i="1"/>
  <c r="AJ258" i="1"/>
  <c r="G258" i="1"/>
  <c r="F258" i="1"/>
  <c r="AR257" i="1"/>
  <c r="AQ257" i="1"/>
  <c r="AP257" i="1"/>
  <c r="AO257" i="1"/>
  <c r="AN257" i="1"/>
  <c r="AM257" i="1"/>
  <c r="AL257" i="1"/>
  <c r="AK257" i="1"/>
  <c r="AJ257" i="1"/>
  <c r="G257" i="1"/>
  <c r="F257" i="1"/>
  <c r="AR227" i="1"/>
  <c r="AQ227" i="1"/>
  <c r="AP227" i="1"/>
  <c r="AO227" i="1"/>
  <c r="AN227" i="1"/>
  <c r="AM227" i="1"/>
  <c r="AL227" i="1"/>
  <c r="AK227" i="1"/>
  <c r="AJ227" i="1"/>
  <c r="L227" i="1"/>
  <c r="AC227" i="1" s="1"/>
  <c r="AD227" i="1" s="1"/>
  <c r="G227" i="1"/>
  <c r="F227" i="1"/>
  <c r="AR226" i="1"/>
  <c r="AQ226" i="1"/>
  <c r="AP226" i="1"/>
  <c r="AO226" i="1"/>
  <c r="AN226" i="1"/>
  <c r="AM226" i="1"/>
  <c r="AL226" i="1"/>
  <c r="AK226" i="1"/>
  <c r="AJ226" i="1"/>
  <c r="G226" i="1"/>
  <c r="F226" i="1"/>
  <c r="AR225" i="1"/>
  <c r="AQ225" i="1"/>
  <c r="AP225" i="1"/>
  <c r="AO225" i="1"/>
  <c r="AN225" i="1"/>
  <c r="AM225" i="1"/>
  <c r="AL225" i="1"/>
  <c r="AK225" i="1"/>
  <c r="AJ225" i="1"/>
  <c r="G225" i="1"/>
  <c r="F225" i="1"/>
  <c r="AR224" i="1"/>
  <c r="AQ224" i="1"/>
  <c r="AP224" i="1"/>
  <c r="AO224" i="1"/>
  <c r="AN224" i="1"/>
  <c r="AM224" i="1"/>
  <c r="AL224" i="1"/>
  <c r="AK224" i="1"/>
  <c r="AJ224" i="1"/>
  <c r="G224" i="1"/>
  <c r="F224" i="1"/>
  <c r="AR223" i="1"/>
  <c r="AQ223" i="1"/>
  <c r="AP223" i="1"/>
  <c r="AO223" i="1"/>
  <c r="AN223" i="1"/>
  <c r="AM223" i="1"/>
  <c r="AL223" i="1"/>
  <c r="AK223" i="1"/>
  <c r="AJ223" i="1"/>
  <c r="G223" i="1"/>
  <c r="F223" i="1"/>
  <c r="AR222" i="1"/>
  <c r="AQ222" i="1"/>
  <c r="AP222" i="1"/>
  <c r="AO222" i="1"/>
  <c r="AN222" i="1"/>
  <c r="AM222" i="1"/>
  <c r="AL222" i="1"/>
  <c r="AK222" i="1"/>
  <c r="AJ222" i="1"/>
  <c r="G222" i="1"/>
  <c r="F222" i="1"/>
  <c r="AR221" i="1"/>
  <c r="AQ221" i="1"/>
  <c r="AP221" i="1"/>
  <c r="AO221" i="1"/>
  <c r="AN221" i="1"/>
  <c r="AM221" i="1"/>
  <c r="AL221" i="1"/>
  <c r="AK221" i="1"/>
  <c r="AJ221" i="1"/>
  <c r="G221" i="1"/>
  <c r="F221" i="1"/>
  <c r="AR220" i="1"/>
  <c r="AQ220" i="1"/>
  <c r="AP220" i="1"/>
  <c r="AO220" i="1"/>
  <c r="AN220" i="1"/>
  <c r="AM220" i="1"/>
  <c r="AL220" i="1"/>
  <c r="AK220" i="1"/>
  <c r="AJ220" i="1"/>
  <c r="G220" i="1"/>
  <c r="F220" i="1"/>
  <c r="AR219" i="1"/>
  <c r="AQ219" i="1"/>
  <c r="AP219" i="1"/>
  <c r="AO219" i="1"/>
  <c r="AN219" i="1"/>
  <c r="AM219" i="1"/>
  <c r="AL219" i="1"/>
  <c r="AK219" i="1"/>
  <c r="AJ219" i="1"/>
  <c r="G219" i="1"/>
  <c r="F219" i="1"/>
  <c r="AR218" i="1"/>
  <c r="AQ218" i="1"/>
  <c r="AP218" i="1"/>
  <c r="AO218" i="1"/>
  <c r="AN218" i="1"/>
  <c r="AM218" i="1"/>
  <c r="AL218" i="1"/>
  <c r="AK218" i="1"/>
  <c r="AJ218" i="1"/>
  <c r="G218" i="1"/>
  <c r="F218" i="1"/>
  <c r="AR217" i="1"/>
  <c r="AQ217" i="1"/>
  <c r="AP217" i="1"/>
  <c r="AO217" i="1"/>
  <c r="AN217" i="1"/>
  <c r="AM217" i="1"/>
  <c r="AL217" i="1"/>
  <c r="AK217" i="1"/>
  <c r="AJ217" i="1"/>
  <c r="G217" i="1"/>
  <c r="F217" i="1"/>
  <c r="AR216" i="1"/>
  <c r="AQ216" i="1"/>
  <c r="AP216" i="1"/>
  <c r="AO216" i="1"/>
  <c r="AN216" i="1"/>
  <c r="AM216" i="1"/>
  <c r="AL216" i="1"/>
  <c r="AK216" i="1"/>
  <c r="AJ216" i="1"/>
  <c r="G216" i="1"/>
  <c r="F216" i="1"/>
  <c r="AR215" i="1"/>
  <c r="AQ215" i="1"/>
  <c r="AP215" i="1"/>
  <c r="AO215" i="1"/>
  <c r="AN215" i="1"/>
  <c r="AM215" i="1"/>
  <c r="AL215" i="1"/>
  <c r="AK215" i="1"/>
  <c r="AJ215" i="1"/>
  <c r="G215" i="1"/>
  <c r="F215" i="1"/>
  <c r="AR256" i="1"/>
  <c r="AQ256" i="1"/>
  <c r="AP256" i="1"/>
  <c r="AO256" i="1"/>
  <c r="AN256" i="1"/>
  <c r="AM256" i="1"/>
  <c r="AL256" i="1"/>
  <c r="AK256" i="1"/>
  <c r="AJ256" i="1"/>
  <c r="G256" i="1"/>
  <c r="F256" i="1"/>
  <c r="AR255" i="1"/>
  <c r="AQ255" i="1"/>
  <c r="AP255" i="1"/>
  <c r="AO255" i="1"/>
  <c r="AN255" i="1"/>
  <c r="AM255" i="1"/>
  <c r="AL255" i="1"/>
  <c r="AK255" i="1"/>
  <c r="AJ255" i="1"/>
  <c r="G255" i="1"/>
  <c r="F255" i="1"/>
  <c r="AR254" i="1"/>
  <c r="AQ254" i="1"/>
  <c r="AP254" i="1"/>
  <c r="AO254" i="1"/>
  <c r="AN254" i="1"/>
  <c r="AM254" i="1"/>
  <c r="AL254" i="1"/>
  <c r="AK254" i="1"/>
  <c r="AJ254" i="1"/>
  <c r="AR253" i="1"/>
  <c r="AQ253" i="1"/>
  <c r="AP253" i="1"/>
  <c r="AO253" i="1"/>
  <c r="AN253" i="1"/>
  <c r="AM253" i="1"/>
  <c r="AL253" i="1"/>
  <c r="AK253" i="1"/>
  <c r="AJ253" i="1"/>
  <c r="AR252" i="1"/>
  <c r="AQ252" i="1"/>
  <c r="AP252" i="1"/>
  <c r="AO252" i="1"/>
  <c r="AN252" i="1"/>
  <c r="AM252" i="1"/>
  <c r="AL252" i="1"/>
  <c r="AK252" i="1"/>
  <c r="AJ252" i="1"/>
  <c r="AR213" i="1"/>
  <c r="AQ213" i="1"/>
  <c r="AP213" i="1"/>
  <c r="AO213" i="1"/>
  <c r="AN213" i="1"/>
  <c r="AM213" i="1"/>
  <c r="AL213" i="1"/>
  <c r="AK213" i="1"/>
  <c r="AJ213" i="1"/>
  <c r="AR212" i="1"/>
  <c r="AQ212" i="1"/>
  <c r="AP212" i="1"/>
  <c r="AO212" i="1"/>
  <c r="AN212" i="1"/>
  <c r="AM212" i="1"/>
  <c r="AL212" i="1"/>
  <c r="AK212" i="1"/>
  <c r="AJ212" i="1"/>
  <c r="AR211" i="1"/>
  <c r="AQ211" i="1"/>
  <c r="AP211" i="1"/>
  <c r="AO211" i="1"/>
  <c r="AN211" i="1"/>
  <c r="AM211" i="1"/>
  <c r="AL211" i="1"/>
  <c r="AK211" i="1"/>
  <c r="AJ211" i="1"/>
  <c r="AR210" i="1"/>
  <c r="AQ210" i="1"/>
  <c r="AP210" i="1"/>
  <c r="AO210" i="1"/>
  <c r="AN210" i="1"/>
  <c r="AM210" i="1"/>
  <c r="AL210" i="1"/>
  <c r="AK210" i="1"/>
  <c r="AJ210" i="1"/>
  <c r="AR209" i="1"/>
  <c r="AQ209" i="1"/>
  <c r="AP209" i="1"/>
  <c r="AO209" i="1"/>
  <c r="AN209" i="1"/>
  <c r="AM209" i="1"/>
  <c r="AL209" i="1"/>
  <c r="AK209" i="1"/>
  <c r="AJ209" i="1"/>
  <c r="AR207" i="1"/>
  <c r="AQ207" i="1"/>
  <c r="AP207" i="1"/>
  <c r="AO207" i="1"/>
  <c r="AN207" i="1"/>
  <c r="AM207" i="1"/>
  <c r="AL207" i="1"/>
  <c r="AK207" i="1"/>
  <c r="AJ207" i="1"/>
  <c r="AR206" i="1"/>
  <c r="AQ206" i="1"/>
  <c r="AP206" i="1"/>
  <c r="AO206" i="1"/>
  <c r="AN206" i="1"/>
  <c r="AM206" i="1"/>
  <c r="AL206" i="1"/>
  <c r="AK206" i="1"/>
  <c r="AJ206" i="1"/>
  <c r="AR205" i="1"/>
  <c r="AQ205" i="1"/>
  <c r="AP205" i="1"/>
  <c r="AO205" i="1"/>
  <c r="AN205" i="1"/>
  <c r="AM205" i="1"/>
  <c r="AL205" i="1"/>
  <c r="AK205" i="1"/>
  <c r="AJ205" i="1"/>
  <c r="AR204" i="1"/>
  <c r="AQ204" i="1"/>
  <c r="AP204" i="1"/>
  <c r="AO204" i="1"/>
  <c r="AN204" i="1"/>
  <c r="AM204" i="1"/>
  <c r="AL204" i="1"/>
  <c r="AK204" i="1"/>
  <c r="AJ204" i="1"/>
  <c r="AR203" i="1"/>
  <c r="AQ203" i="1"/>
  <c r="AP203" i="1"/>
  <c r="AO203" i="1"/>
  <c r="AN203" i="1"/>
  <c r="AM203" i="1"/>
  <c r="AL203" i="1"/>
  <c r="AK203" i="1"/>
  <c r="AJ203" i="1"/>
  <c r="AR201" i="1"/>
  <c r="AQ201" i="1"/>
  <c r="AP201" i="1"/>
  <c r="AO201" i="1"/>
  <c r="AN201" i="1"/>
  <c r="AM201" i="1"/>
  <c r="AL201" i="1"/>
  <c r="AK201" i="1"/>
  <c r="AJ201" i="1"/>
  <c r="AR200" i="1"/>
  <c r="AQ200" i="1"/>
  <c r="AP200" i="1"/>
  <c r="AO200" i="1"/>
  <c r="AN200" i="1"/>
  <c r="AM200" i="1"/>
  <c r="AL200" i="1"/>
  <c r="AK200" i="1"/>
  <c r="AJ200" i="1"/>
  <c r="AR199" i="1"/>
  <c r="AQ199" i="1"/>
  <c r="AP199" i="1"/>
  <c r="AO199" i="1"/>
  <c r="AN199" i="1"/>
  <c r="AM199" i="1"/>
  <c r="AL199" i="1"/>
  <c r="AK199" i="1"/>
  <c r="AJ199" i="1"/>
  <c r="AR198" i="1"/>
  <c r="AQ198" i="1"/>
  <c r="AP198" i="1"/>
  <c r="AO198" i="1"/>
  <c r="AN198" i="1"/>
  <c r="AM198" i="1"/>
  <c r="AL198" i="1"/>
  <c r="AK198" i="1"/>
  <c r="AJ198" i="1"/>
  <c r="AR197" i="1"/>
  <c r="AQ197" i="1"/>
  <c r="AP197" i="1"/>
  <c r="AO197" i="1"/>
  <c r="AN197" i="1"/>
  <c r="AM197" i="1"/>
  <c r="AL197" i="1"/>
  <c r="AK197" i="1"/>
  <c r="AJ197" i="1"/>
  <c r="AR196" i="1"/>
  <c r="AQ196" i="1"/>
  <c r="AP196" i="1"/>
  <c r="AO196" i="1"/>
  <c r="AN196" i="1"/>
  <c r="AM196" i="1"/>
  <c r="AL196" i="1"/>
  <c r="AK196" i="1"/>
  <c r="AJ196" i="1"/>
  <c r="AR195" i="1"/>
  <c r="AQ195" i="1"/>
  <c r="AP195" i="1"/>
  <c r="AO195" i="1"/>
  <c r="AN195" i="1"/>
  <c r="AM195" i="1"/>
  <c r="AL195" i="1"/>
  <c r="AK195" i="1"/>
  <c r="AJ195" i="1"/>
  <c r="AR194" i="1"/>
  <c r="AQ194" i="1"/>
  <c r="AP194" i="1"/>
  <c r="AO194" i="1"/>
  <c r="AN194" i="1"/>
  <c r="AM194" i="1"/>
  <c r="AL194" i="1"/>
  <c r="AK194" i="1"/>
  <c r="AJ194" i="1"/>
  <c r="AR193" i="1"/>
  <c r="AQ193" i="1"/>
  <c r="AP193" i="1"/>
  <c r="AO193" i="1"/>
  <c r="AN193" i="1"/>
  <c r="AM193" i="1"/>
  <c r="AL193" i="1"/>
  <c r="AK193" i="1"/>
  <c r="AJ193" i="1"/>
  <c r="AR192" i="1"/>
  <c r="AQ192" i="1"/>
  <c r="AP192" i="1"/>
  <c r="AO192" i="1"/>
  <c r="AN192" i="1"/>
  <c r="AM192" i="1"/>
  <c r="AL192" i="1"/>
  <c r="AK192" i="1"/>
  <c r="AJ192" i="1"/>
  <c r="AR191" i="1"/>
  <c r="AQ191" i="1"/>
  <c r="AP191" i="1"/>
  <c r="AO191" i="1"/>
  <c r="AN191" i="1"/>
  <c r="AM191" i="1"/>
  <c r="AL191" i="1"/>
  <c r="AK191" i="1"/>
  <c r="AJ191" i="1"/>
  <c r="AR190" i="1"/>
  <c r="AQ190" i="1"/>
  <c r="AP190" i="1"/>
  <c r="AO190" i="1"/>
  <c r="AN190" i="1"/>
  <c r="AM190" i="1"/>
  <c r="AL190" i="1"/>
  <c r="AK190" i="1"/>
  <c r="AJ190" i="1"/>
  <c r="AR189" i="1"/>
  <c r="AQ189" i="1"/>
  <c r="AP189" i="1"/>
  <c r="AO189" i="1"/>
  <c r="AN189" i="1"/>
  <c r="AM189" i="1"/>
  <c r="AL189" i="1"/>
  <c r="AK189" i="1"/>
  <c r="AJ189" i="1"/>
  <c r="AR188" i="1"/>
  <c r="AQ188" i="1"/>
  <c r="AP188" i="1"/>
  <c r="AO188" i="1"/>
  <c r="AN188" i="1"/>
  <c r="AM188" i="1"/>
  <c r="AL188" i="1"/>
  <c r="AK188" i="1"/>
  <c r="AJ188" i="1"/>
  <c r="AR187" i="1"/>
  <c r="AQ187" i="1"/>
  <c r="AP187" i="1"/>
  <c r="AO187" i="1"/>
  <c r="AN187" i="1"/>
  <c r="AM187" i="1"/>
  <c r="AL187" i="1"/>
  <c r="AK187" i="1"/>
  <c r="AJ187" i="1"/>
  <c r="AR186" i="1"/>
  <c r="AQ186" i="1"/>
  <c r="AP186" i="1"/>
  <c r="AO186" i="1"/>
  <c r="AN186" i="1"/>
  <c r="AM186" i="1"/>
  <c r="AL186" i="1"/>
  <c r="AK186" i="1"/>
  <c r="AJ186" i="1"/>
  <c r="AR185" i="1"/>
  <c r="AQ185" i="1"/>
  <c r="AP185" i="1"/>
  <c r="AO185" i="1"/>
  <c r="AN185" i="1"/>
  <c r="AM185" i="1"/>
  <c r="AL185" i="1"/>
  <c r="AK185" i="1"/>
  <c r="AJ185" i="1"/>
  <c r="AR184" i="1"/>
  <c r="AQ184" i="1"/>
  <c r="AP184" i="1"/>
  <c r="AO184" i="1"/>
  <c r="AN184" i="1"/>
  <c r="AM184" i="1"/>
  <c r="AL184" i="1"/>
  <c r="AK184" i="1"/>
  <c r="AJ184" i="1"/>
  <c r="AR183" i="1"/>
  <c r="AQ183" i="1"/>
  <c r="AP183" i="1"/>
  <c r="AO183" i="1"/>
  <c r="AN183" i="1"/>
  <c r="AM183" i="1"/>
  <c r="AL183" i="1"/>
  <c r="AK183" i="1"/>
  <c r="AJ183" i="1"/>
  <c r="AR182" i="1"/>
  <c r="AQ182" i="1"/>
  <c r="AP182" i="1"/>
  <c r="AO182" i="1"/>
  <c r="AN182" i="1"/>
  <c r="AM182" i="1"/>
  <c r="AL182" i="1"/>
  <c r="AK182" i="1"/>
  <c r="AJ182" i="1"/>
  <c r="AR181" i="1"/>
  <c r="AQ181" i="1"/>
  <c r="AP181" i="1"/>
  <c r="AO181" i="1"/>
  <c r="AN181" i="1"/>
  <c r="AM181" i="1"/>
  <c r="AL181" i="1"/>
  <c r="AK181" i="1"/>
  <c r="AJ181" i="1"/>
  <c r="AR180" i="1"/>
  <c r="AQ180" i="1"/>
  <c r="AP180" i="1"/>
  <c r="AO180" i="1"/>
  <c r="AN180" i="1"/>
  <c r="AM180" i="1"/>
  <c r="AL180" i="1"/>
  <c r="AK180" i="1"/>
  <c r="AJ180" i="1"/>
  <c r="AR179" i="1"/>
  <c r="AQ179" i="1"/>
  <c r="AP179" i="1"/>
  <c r="AO179" i="1"/>
  <c r="AN179" i="1"/>
  <c r="AM179" i="1"/>
  <c r="AL179" i="1"/>
  <c r="AK179" i="1"/>
  <c r="AJ179" i="1"/>
  <c r="AR178" i="1"/>
  <c r="AQ178" i="1"/>
  <c r="AP178" i="1"/>
  <c r="AO178" i="1"/>
  <c r="AN178" i="1"/>
  <c r="AM178" i="1"/>
  <c r="AL178" i="1"/>
  <c r="AK178" i="1"/>
  <c r="AJ178" i="1"/>
  <c r="AR177" i="1"/>
  <c r="AQ177" i="1"/>
  <c r="AP177" i="1"/>
  <c r="AO177" i="1"/>
  <c r="AN177" i="1"/>
  <c r="AM177" i="1"/>
  <c r="AL177" i="1"/>
  <c r="AK177" i="1"/>
  <c r="AJ177" i="1"/>
  <c r="AR176" i="1"/>
  <c r="AQ176" i="1"/>
  <c r="AP176" i="1"/>
  <c r="AO176" i="1"/>
  <c r="AN176" i="1"/>
  <c r="AM176" i="1"/>
  <c r="AL176" i="1"/>
  <c r="AK176" i="1"/>
  <c r="AJ176" i="1"/>
  <c r="AR175" i="1"/>
  <c r="AQ175" i="1"/>
  <c r="AP175" i="1"/>
  <c r="AO175" i="1"/>
  <c r="AN175" i="1"/>
  <c r="AM175" i="1"/>
  <c r="AL175" i="1"/>
  <c r="AK175" i="1"/>
  <c r="AJ175" i="1"/>
  <c r="AR174" i="1"/>
  <c r="AQ174" i="1"/>
  <c r="AP174" i="1"/>
  <c r="AO174" i="1"/>
  <c r="AN174" i="1"/>
  <c r="AM174" i="1"/>
  <c r="AL174" i="1"/>
  <c r="AK174" i="1"/>
  <c r="AJ174" i="1"/>
  <c r="AR173" i="1"/>
  <c r="AQ173" i="1"/>
  <c r="AP173" i="1"/>
  <c r="AO173" i="1"/>
  <c r="AN173" i="1"/>
  <c r="AM173" i="1"/>
  <c r="AL173" i="1"/>
  <c r="AK173" i="1"/>
  <c r="AJ173" i="1"/>
  <c r="AR172" i="1"/>
  <c r="AQ172" i="1"/>
  <c r="AP172" i="1"/>
  <c r="AO172" i="1"/>
  <c r="AN172" i="1"/>
  <c r="AM172" i="1"/>
  <c r="AL172" i="1"/>
  <c r="AK172" i="1"/>
  <c r="AJ172" i="1"/>
  <c r="AR171" i="1"/>
  <c r="AQ171" i="1"/>
  <c r="AP171" i="1"/>
  <c r="AO171" i="1"/>
  <c r="AN171" i="1"/>
  <c r="AM171" i="1"/>
  <c r="AL171" i="1"/>
  <c r="AK171" i="1"/>
  <c r="AJ171" i="1"/>
  <c r="AR170" i="1"/>
  <c r="AQ170" i="1"/>
  <c r="AP170" i="1"/>
  <c r="AO170" i="1"/>
  <c r="AN170" i="1"/>
  <c r="AM170" i="1"/>
  <c r="AL170" i="1"/>
  <c r="AK170" i="1"/>
  <c r="AJ170" i="1"/>
  <c r="AR169" i="1"/>
  <c r="AQ169" i="1"/>
  <c r="AP169" i="1"/>
  <c r="AO169" i="1"/>
  <c r="AN169" i="1"/>
  <c r="AM169" i="1"/>
  <c r="AL169" i="1"/>
  <c r="AK169" i="1"/>
  <c r="AJ169" i="1"/>
  <c r="AR168" i="1"/>
  <c r="AQ168" i="1"/>
  <c r="AP168" i="1"/>
  <c r="AO168" i="1"/>
  <c r="AN168" i="1"/>
  <c r="AM168" i="1"/>
  <c r="AL168" i="1"/>
  <c r="AK168" i="1"/>
  <c r="AJ168" i="1"/>
  <c r="AR167" i="1"/>
  <c r="AQ167" i="1"/>
  <c r="AP167" i="1"/>
  <c r="AO167" i="1"/>
  <c r="AN167" i="1"/>
  <c r="AM167" i="1"/>
  <c r="AL167" i="1"/>
  <c r="AK167" i="1"/>
  <c r="AJ167" i="1"/>
  <c r="AR166" i="1"/>
  <c r="AQ166" i="1"/>
  <c r="AP166" i="1"/>
  <c r="AO166" i="1"/>
  <c r="AN166" i="1"/>
  <c r="AM166" i="1"/>
  <c r="AL166" i="1"/>
  <c r="AK166" i="1"/>
  <c r="AJ166" i="1"/>
  <c r="AR165" i="1"/>
  <c r="AQ165" i="1"/>
  <c r="AP165" i="1"/>
  <c r="AO165" i="1"/>
  <c r="AN165" i="1"/>
  <c r="AM165" i="1"/>
  <c r="AL165" i="1"/>
  <c r="AK165" i="1"/>
  <c r="AJ165" i="1"/>
  <c r="AR164" i="1"/>
  <c r="AQ164" i="1"/>
  <c r="AP164" i="1"/>
  <c r="AO164" i="1"/>
  <c r="AN164" i="1"/>
  <c r="AM164" i="1"/>
  <c r="AL164" i="1"/>
  <c r="AK164" i="1"/>
  <c r="AJ164" i="1"/>
  <c r="AR163" i="1"/>
  <c r="AQ163" i="1"/>
  <c r="AP163" i="1"/>
  <c r="AO163" i="1"/>
  <c r="AN163" i="1"/>
  <c r="AM163" i="1"/>
  <c r="AL163" i="1"/>
  <c r="AK163" i="1"/>
  <c r="AJ163" i="1"/>
  <c r="AR162" i="1"/>
  <c r="AQ162" i="1"/>
  <c r="AP162" i="1"/>
  <c r="AO162" i="1"/>
  <c r="AN162" i="1"/>
  <c r="AM162" i="1"/>
  <c r="AL162" i="1"/>
  <c r="AK162" i="1"/>
  <c r="AJ162" i="1"/>
  <c r="AR161" i="1"/>
  <c r="AQ161" i="1"/>
  <c r="AP161" i="1"/>
  <c r="AO161" i="1"/>
  <c r="AN161" i="1"/>
  <c r="AM161" i="1"/>
  <c r="AL161" i="1"/>
  <c r="AK161" i="1"/>
  <c r="AJ161" i="1"/>
  <c r="AR160" i="1"/>
  <c r="AQ160" i="1"/>
  <c r="AP160" i="1"/>
  <c r="AO160" i="1"/>
  <c r="AN160" i="1"/>
  <c r="AM160" i="1"/>
  <c r="AL160" i="1"/>
  <c r="AK160" i="1"/>
  <c r="AJ160" i="1"/>
  <c r="AR159" i="1"/>
  <c r="AQ159" i="1"/>
  <c r="AP159" i="1"/>
  <c r="AO159" i="1"/>
  <c r="AN159" i="1"/>
  <c r="AM159" i="1"/>
  <c r="AL159" i="1"/>
  <c r="AK159" i="1"/>
  <c r="AJ159" i="1"/>
  <c r="AR158" i="1"/>
  <c r="AQ158" i="1"/>
  <c r="AP158" i="1"/>
  <c r="AO158" i="1"/>
  <c r="AN158" i="1"/>
  <c r="AM158" i="1"/>
  <c r="AL158" i="1"/>
  <c r="AK158" i="1"/>
  <c r="AJ158" i="1"/>
  <c r="AR157" i="1"/>
  <c r="AQ157" i="1"/>
  <c r="AP157" i="1"/>
  <c r="AO157" i="1"/>
  <c r="AN157" i="1"/>
  <c r="AM157" i="1"/>
  <c r="AL157" i="1"/>
  <c r="AK157" i="1"/>
  <c r="AJ157" i="1"/>
  <c r="AR156" i="1"/>
  <c r="AQ156" i="1"/>
  <c r="AP156" i="1"/>
  <c r="AO156" i="1"/>
  <c r="AN156" i="1"/>
  <c r="AM156" i="1"/>
  <c r="AL156" i="1"/>
  <c r="AK156" i="1"/>
  <c r="AJ156" i="1"/>
  <c r="AR155" i="1"/>
  <c r="AQ155" i="1"/>
  <c r="AP155" i="1"/>
  <c r="AO155" i="1"/>
  <c r="AN155" i="1"/>
  <c r="AM155" i="1"/>
  <c r="AL155" i="1"/>
  <c r="AK155" i="1"/>
  <c r="AJ155" i="1"/>
  <c r="AR154" i="1"/>
  <c r="AQ154" i="1"/>
  <c r="AP154" i="1"/>
  <c r="AO154" i="1"/>
  <c r="AN154" i="1"/>
  <c r="AM154" i="1"/>
  <c r="AL154" i="1"/>
  <c r="AK154" i="1"/>
  <c r="AJ154" i="1"/>
  <c r="AR153" i="1"/>
  <c r="AQ153" i="1"/>
  <c r="AP153" i="1"/>
  <c r="AO153" i="1"/>
  <c r="AN153" i="1"/>
  <c r="AM153" i="1"/>
  <c r="AL153" i="1"/>
  <c r="AK153" i="1"/>
  <c r="AJ153" i="1"/>
  <c r="AR152" i="1"/>
  <c r="AQ152" i="1"/>
  <c r="AP152" i="1"/>
  <c r="AO152" i="1"/>
  <c r="AN152" i="1"/>
  <c r="AM152" i="1"/>
  <c r="AL152" i="1"/>
  <c r="AK152" i="1"/>
  <c r="AJ152" i="1"/>
  <c r="AR151" i="1"/>
  <c r="AQ151" i="1"/>
  <c r="AP151" i="1"/>
  <c r="AO151" i="1"/>
  <c r="AN151" i="1"/>
  <c r="AM151" i="1"/>
  <c r="AL151" i="1"/>
  <c r="AK151" i="1"/>
  <c r="AJ151" i="1"/>
  <c r="AR150" i="1"/>
  <c r="AQ150" i="1"/>
  <c r="AP150" i="1"/>
  <c r="AO150" i="1"/>
  <c r="AN150" i="1"/>
  <c r="AM150" i="1"/>
  <c r="AL150" i="1"/>
  <c r="AK150" i="1"/>
  <c r="AJ150" i="1"/>
  <c r="G150" i="1"/>
  <c r="F150" i="1"/>
  <c r="AR149" i="1"/>
  <c r="AQ149" i="1"/>
  <c r="AP149" i="1"/>
  <c r="AO149" i="1"/>
  <c r="AN149" i="1"/>
  <c r="AM149" i="1"/>
  <c r="AL149" i="1"/>
  <c r="AK149" i="1"/>
  <c r="AJ149" i="1"/>
  <c r="AR148" i="1"/>
  <c r="AQ148" i="1"/>
  <c r="AP148" i="1"/>
  <c r="AO148" i="1"/>
  <c r="AN148" i="1"/>
  <c r="AM148" i="1"/>
  <c r="AL148" i="1"/>
  <c r="AK148" i="1"/>
  <c r="AJ148" i="1"/>
  <c r="AR147" i="1"/>
  <c r="AQ147" i="1"/>
  <c r="AP147" i="1"/>
  <c r="AO147" i="1"/>
  <c r="AN147" i="1"/>
  <c r="AM147" i="1"/>
  <c r="AL147" i="1"/>
  <c r="AK147" i="1"/>
  <c r="AJ147" i="1"/>
  <c r="AR146" i="1"/>
  <c r="AQ146" i="1"/>
  <c r="AP146" i="1"/>
  <c r="AO146" i="1"/>
  <c r="AN146" i="1"/>
  <c r="AM146" i="1"/>
  <c r="AL146" i="1"/>
  <c r="AK146" i="1"/>
  <c r="AJ146" i="1"/>
  <c r="AR145" i="1"/>
  <c r="AQ145" i="1"/>
  <c r="AP145" i="1"/>
  <c r="AO145" i="1"/>
  <c r="AN145" i="1"/>
  <c r="AM145" i="1"/>
  <c r="AL145" i="1"/>
  <c r="AK145" i="1"/>
  <c r="AJ145" i="1"/>
  <c r="AR144" i="1"/>
  <c r="AQ144" i="1"/>
  <c r="AP144" i="1"/>
  <c r="AO144" i="1"/>
  <c r="AN144" i="1"/>
  <c r="AM144" i="1"/>
  <c r="AL144" i="1"/>
  <c r="AK144" i="1"/>
  <c r="AJ144" i="1"/>
  <c r="AR143" i="1"/>
  <c r="AQ143" i="1"/>
  <c r="AP143" i="1"/>
  <c r="AO143" i="1"/>
  <c r="AN143" i="1"/>
  <c r="AM143" i="1"/>
  <c r="AL143" i="1"/>
  <c r="AK143" i="1"/>
  <c r="AJ143" i="1"/>
  <c r="AR142" i="1"/>
  <c r="AQ142" i="1"/>
  <c r="AP142" i="1"/>
  <c r="AO142" i="1"/>
  <c r="AN142" i="1"/>
  <c r="AM142" i="1"/>
  <c r="AL142" i="1"/>
  <c r="AK142" i="1"/>
  <c r="AJ142" i="1"/>
  <c r="AR141" i="1"/>
  <c r="AQ141" i="1"/>
  <c r="AP141" i="1"/>
  <c r="AO141" i="1"/>
  <c r="AN141" i="1"/>
  <c r="AM141" i="1"/>
  <c r="AL141" i="1"/>
  <c r="AK141" i="1"/>
  <c r="AJ141" i="1"/>
  <c r="AR140" i="1"/>
  <c r="AQ140" i="1"/>
  <c r="AP140" i="1"/>
  <c r="AO140" i="1"/>
  <c r="AN140" i="1"/>
  <c r="AM140" i="1"/>
  <c r="AL140" i="1"/>
  <c r="AK140" i="1"/>
  <c r="AJ140" i="1"/>
  <c r="AR139" i="1"/>
  <c r="AQ139" i="1"/>
  <c r="AP139" i="1"/>
  <c r="AO139" i="1"/>
  <c r="AN139" i="1"/>
  <c r="AM139" i="1"/>
  <c r="AL139" i="1"/>
  <c r="AK139" i="1"/>
  <c r="AJ139" i="1"/>
  <c r="AR138" i="1"/>
  <c r="AQ138" i="1"/>
  <c r="AP138" i="1"/>
  <c r="AO138" i="1"/>
  <c r="AN138" i="1"/>
  <c r="AM138" i="1"/>
  <c r="AL138" i="1"/>
  <c r="AK138" i="1"/>
  <c r="AJ138" i="1"/>
  <c r="AR137" i="1"/>
  <c r="AQ137" i="1"/>
  <c r="AP137" i="1"/>
  <c r="AO137" i="1"/>
  <c r="AN137" i="1"/>
  <c r="AM137" i="1"/>
  <c r="AL137" i="1"/>
  <c r="AK137" i="1"/>
  <c r="AJ137" i="1"/>
  <c r="AR136" i="1"/>
  <c r="AQ136" i="1"/>
  <c r="AP136" i="1"/>
  <c r="AO136" i="1"/>
  <c r="AN136" i="1"/>
  <c r="AM136" i="1"/>
  <c r="AL136" i="1"/>
  <c r="AK136" i="1"/>
  <c r="AJ136" i="1"/>
  <c r="AR135" i="1"/>
  <c r="AQ135" i="1"/>
  <c r="AP135" i="1"/>
  <c r="AO135" i="1"/>
  <c r="AN135" i="1"/>
  <c r="AM135" i="1"/>
  <c r="AL135" i="1"/>
  <c r="AK135" i="1"/>
  <c r="AJ135" i="1"/>
  <c r="AR134" i="1"/>
  <c r="AQ134" i="1"/>
  <c r="AP134" i="1"/>
  <c r="AO134" i="1"/>
  <c r="AN134" i="1"/>
  <c r="AM134" i="1"/>
  <c r="AL134" i="1"/>
  <c r="AK134" i="1"/>
  <c r="AJ134" i="1"/>
  <c r="AR133" i="1"/>
  <c r="AQ133" i="1"/>
  <c r="AP133" i="1"/>
  <c r="AO133" i="1"/>
  <c r="AN133" i="1"/>
  <c r="AM133" i="1"/>
  <c r="AL133" i="1"/>
  <c r="AK133" i="1"/>
  <c r="AJ133" i="1"/>
  <c r="AR132" i="1"/>
  <c r="AQ132" i="1"/>
  <c r="AP132" i="1"/>
  <c r="AO132" i="1"/>
  <c r="AN132" i="1"/>
  <c r="AM132" i="1"/>
  <c r="AL132" i="1"/>
  <c r="AK132" i="1"/>
  <c r="AJ132" i="1"/>
  <c r="AR122" i="1"/>
  <c r="AQ122" i="1"/>
  <c r="AP122" i="1"/>
  <c r="AO122" i="1"/>
  <c r="AN122" i="1"/>
  <c r="AM122" i="1"/>
  <c r="AL122" i="1"/>
  <c r="AK122" i="1"/>
  <c r="AJ122" i="1"/>
  <c r="AR121" i="1"/>
  <c r="AQ121" i="1"/>
  <c r="AP121" i="1"/>
  <c r="AO121" i="1"/>
  <c r="AN121" i="1"/>
  <c r="AM121" i="1"/>
  <c r="AL121" i="1"/>
  <c r="AK121" i="1"/>
  <c r="AJ121" i="1"/>
  <c r="AR120" i="1"/>
  <c r="AQ120" i="1"/>
  <c r="AP120" i="1"/>
  <c r="AO120" i="1"/>
  <c r="AN120" i="1"/>
  <c r="AM120" i="1"/>
  <c r="AL120" i="1"/>
  <c r="AK120" i="1"/>
  <c r="AJ120" i="1"/>
  <c r="AR118" i="1"/>
  <c r="AQ118" i="1"/>
  <c r="AP118" i="1"/>
  <c r="AO118" i="1"/>
  <c r="AN118" i="1"/>
  <c r="AM118" i="1"/>
  <c r="AL118" i="1"/>
  <c r="AK118" i="1"/>
  <c r="AJ118" i="1"/>
  <c r="G118" i="1"/>
  <c r="F118" i="1"/>
  <c r="AR117" i="1"/>
  <c r="AQ117" i="1"/>
  <c r="AP117" i="1"/>
  <c r="AO117" i="1"/>
  <c r="AN117" i="1"/>
  <c r="AM117" i="1"/>
  <c r="AL117" i="1"/>
  <c r="AK117" i="1"/>
  <c r="AJ117" i="1"/>
  <c r="G117" i="1"/>
  <c r="F117" i="1"/>
  <c r="AR116" i="1"/>
  <c r="AQ116" i="1"/>
  <c r="AP116" i="1"/>
  <c r="AO116" i="1"/>
  <c r="AN116" i="1"/>
  <c r="AM116" i="1"/>
  <c r="AL116" i="1"/>
  <c r="AK116" i="1"/>
  <c r="AJ116" i="1"/>
  <c r="G116" i="1"/>
  <c r="F116" i="1"/>
  <c r="AR115" i="1"/>
  <c r="AQ115" i="1"/>
  <c r="AP115" i="1"/>
  <c r="AO115" i="1"/>
  <c r="AN115" i="1"/>
  <c r="AM115" i="1"/>
  <c r="AL115" i="1"/>
  <c r="AK115" i="1"/>
  <c r="AJ115" i="1"/>
  <c r="G115" i="1"/>
  <c r="F115" i="1"/>
  <c r="AR114" i="1"/>
  <c r="AQ114" i="1"/>
  <c r="AP114" i="1"/>
  <c r="AO114" i="1"/>
  <c r="AN114" i="1"/>
  <c r="AM114" i="1"/>
  <c r="AL114" i="1"/>
  <c r="AK114" i="1"/>
  <c r="AJ114" i="1"/>
  <c r="G114" i="1"/>
  <c r="F114" i="1"/>
  <c r="AR113" i="1"/>
  <c r="AQ113" i="1"/>
  <c r="AP113" i="1"/>
  <c r="AO113" i="1"/>
  <c r="AN113" i="1"/>
  <c r="AM113" i="1"/>
  <c r="AL113" i="1"/>
  <c r="AK113" i="1"/>
  <c r="AJ113" i="1"/>
  <c r="G113" i="1"/>
  <c r="F113" i="1"/>
  <c r="AR111" i="1"/>
  <c r="AQ111" i="1"/>
  <c r="AP111" i="1"/>
  <c r="AO111" i="1"/>
  <c r="AN111" i="1"/>
  <c r="AM111" i="1"/>
  <c r="AL111" i="1"/>
  <c r="AK111" i="1"/>
  <c r="AJ111" i="1"/>
  <c r="G111" i="1"/>
  <c r="F111" i="1"/>
  <c r="AR110" i="1"/>
  <c r="AQ110" i="1"/>
  <c r="AP110" i="1"/>
  <c r="AO110" i="1"/>
  <c r="AN110" i="1"/>
  <c r="AM110" i="1"/>
  <c r="AL110" i="1"/>
  <c r="AK110" i="1"/>
  <c r="AJ110" i="1"/>
  <c r="AR109" i="1"/>
  <c r="AQ109" i="1"/>
  <c r="AP109" i="1"/>
  <c r="AO109" i="1"/>
  <c r="AN109" i="1"/>
  <c r="AM109" i="1"/>
  <c r="AL109" i="1"/>
  <c r="AK109" i="1"/>
  <c r="AJ109" i="1"/>
  <c r="AR108" i="1"/>
  <c r="AQ108" i="1"/>
  <c r="AP108" i="1"/>
  <c r="AO108" i="1"/>
  <c r="AN108" i="1"/>
  <c r="AM108" i="1"/>
  <c r="AL108" i="1"/>
  <c r="AK108" i="1"/>
  <c r="AJ108" i="1"/>
  <c r="AR107" i="1"/>
  <c r="AQ107" i="1"/>
  <c r="AP107" i="1"/>
  <c r="AO107" i="1"/>
  <c r="AN107" i="1"/>
  <c r="AM107" i="1"/>
  <c r="AL107" i="1"/>
  <c r="AK107" i="1"/>
  <c r="AJ107" i="1"/>
  <c r="G107" i="1"/>
  <c r="F107" i="1"/>
  <c r="AR105" i="1"/>
  <c r="AQ105" i="1"/>
  <c r="AP105" i="1"/>
  <c r="AO105" i="1"/>
  <c r="AN105" i="1"/>
  <c r="AM105" i="1"/>
  <c r="AL105" i="1"/>
  <c r="AK105" i="1"/>
  <c r="AJ105" i="1"/>
  <c r="F105" i="1"/>
  <c r="AR104" i="1"/>
  <c r="AQ104" i="1"/>
  <c r="AP104" i="1"/>
  <c r="AO104" i="1"/>
  <c r="AN104" i="1"/>
  <c r="AM104" i="1"/>
  <c r="AL104" i="1"/>
  <c r="AK104" i="1"/>
  <c r="AJ104" i="1"/>
  <c r="AR103" i="1"/>
  <c r="AQ103" i="1"/>
  <c r="AP103" i="1"/>
  <c r="AO103" i="1"/>
  <c r="AN103" i="1"/>
  <c r="AM103" i="1"/>
  <c r="AL103" i="1"/>
  <c r="AK103" i="1"/>
  <c r="AJ103" i="1"/>
  <c r="AR102" i="1"/>
  <c r="AQ102" i="1"/>
  <c r="AP102" i="1"/>
  <c r="AO102" i="1"/>
  <c r="AN102" i="1"/>
  <c r="AM102" i="1"/>
  <c r="AL102" i="1"/>
  <c r="AK102" i="1"/>
  <c r="AJ102" i="1"/>
  <c r="AR101" i="1"/>
  <c r="AQ101" i="1"/>
  <c r="AP101" i="1"/>
  <c r="AO101" i="1"/>
  <c r="AN101" i="1"/>
  <c r="AM101" i="1"/>
  <c r="AL101" i="1"/>
  <c r="AK101" i="1"/>
  <c r="AJ101" i="1"/>
  <c r="G101" i="1"/>
  <c r="F101" i="1"/>
  <c r="AR100" i="1"/>
  <c r="AQ100" i="1"/>
  <c r="AP100" i="1"/>
  <c r="AO100" i="1"/>
  <c r="AN100" i="1"/>
  <c r="AM100" i="1"/>
  <c r="AL100" i="1"/>
  <c r="AK100" i="1"/>
  <c r="AJ100" i="1"/>
  <c r="G100" i="1"/>
  <c r="F100" i="1"/>
  <c r="AR99" i="1"/>
  <c r="AQ99" i="1"/>
  <c r="AP99" i="1"/>
  <c r="AO99" i="1"/>
  <c r="AN99" i="1"/>
  <c r="AM99" i="1"/>
  <c r="AL99" i="1"/>
  <c r="AK99" i="1"/>
  <c r="AJ99" i="1"/>
  <c r="G99" i="1"/>
  <c r="F99" i="1"/>
  <c r="AR98" i="1"/>
  <c r="AQ98" i="1"/>
  <c r="AP98" i="1"/>
  <c r="AO98" i="1"/>
  <c r="AN98" i="1"/>
  <c r="AM98" i="1"/>
  <c r="AL98" i="1"/>
  <c r="AK98" i="1"/>
  <c r="AJ98" i="1"/>
  <c r="G98" i="1"/>
  <c r="F98" i="1"/>
  <c r="AR97" i="1"/>
  <c r="AQ97" i="1"/>
  <c r="AP97" i="1"/>
  <c r="AO97" i="1"/>
  <c r="AN97" i="1"/>
  <c r="AM97" i="1"/>
  <c r="AL97" i="1"/>
  <c r="AK97" i="1"/>
  <c r="AJ97" i="1"/>
  <c r="L97" i="1"/>
  <c r="AC97" i="1" s="1"/>
  <c r="AD97" i="1" s="1"/>
  <c r="G97" i="1"/>
  <c r="F97" i="1"/>
  <c r="AR96" i="1"/>
  <c r="AQ96" i="1"/>
  <c r="AP96" i="1"/>
  <c r="AO96" i="1"/>
  <c r="AN96" i="1"/>
  <c r="AM96" i="1"/>
  <c r="AL96" i="1"/>
  <c r="AK96" i="1"/>
  <c r="AJ96" i="1"/>
  <c r="G96" i="1"/>
  <c r="F96" i="1"/>
  <c r="AR95" i="1"/>
  <c r="AQ95" i="1"/>
  <c r="AP95" i="1"/>
  <c r="AO95" i="1"/>
  <c r="AN95" i="1"/>
  <c r="AM95" i="1"/>
  <c r="AL95" i="1"/>
  <c r="AK95" i="1"/>
  <c r="AJ95" i="1"/>
  <c r="G95" i="1"/>
  <c r="F95" i="1"/>
  <c r="AR94" i="1"/>
  <c r="AQ94" i="1"/>
  <c r="AP94" i="1"/>
  <c r="AO94" i="1"/>
  <c r="AN94" i="1"/>
  <c r="AM94" i="1"/>
  <c r="AL94" i="1"/>
  <c r="AK94" i="1"/>
  <c r="AJ94" i="1"/>
  <c r="G94" i="1"/>
  <c r="F94" i="1"/>
  <c r="AR92" i="1"/>
  <c r="AQ92" i="1"/>
  <c r="AP92" i="1"/>
  <c r="AO92" i="1"/>
  <c r="AN92" i="1"/>
  <c r="AM92" i="1"/>
  <c r="AL92" i="1"/>
  <c r="AK92" i="1"/>
  <c r="AJ92" i="1"/>
  <c r="G92" i="1"/>
  <c r="F92" i="1"/>
  <c r="AR91" i="1"/>
  <c r="AQ91" i="1"/>
  <c r="AP91" i="1"/>
  <c r="AO91" i="1"/>
  <c r="AN91" i="1"/>
  <c r="AM91" i="1"/>
  <c r="AL91" i="1"/>
  <c r="AK91" i="1"/>
  <c r="AJ91" i="1"/>
  <c r="G91" i="1"/>
  <c r="F91" i="1"/>
  <c r="AR90" i="1"/>
  <c r="AQ90" i="1"/>
  <c r="AP90" i="1"/>
  <c r="AO90" i="1"/>
  <c r="AN90" i="1"/>
  <c r="AM90" i="1"/>
  <c r="AL90" i="1"/>
  <c r="AK90" i="1"/>
  <c r="AJ90" i="1"/>
  <c r="G90" i="1"/>
  <c r="F90" i="1"/>
  <c r="AR89" i="1"/>
  <c r="AQ89" i="1"/>
  <c r="AP89" i="1"/>
  <c r="AO89" i="1"/>
  <c r="AN89" i="1"/>
  <c r="AM89" i="1"/>
  <c r="AL89" i="1"/>
  <c r="AK89" i="1"/>
  <c r="AJ89" i="1"/>
  <c r="G89" i="1"/>
  <c r="F89" i="1"/>
  <c r="AR87" i="1"/>
  <c r="AQ87" i="1"/>
  <c r="AP87" i="1"/>
  <c r="AO87" i="1"/>
  <c r="AN87" i="1"/>
  <c r="AM87" i="1"/>
  <c r="AL87" i="1"/>
  <c r="AK87" i="1"/>
  <c r="AJ87" i="1"/>
  <c r="G87" i="1"/>
  <c r="F87" i="1"/>
  <c r="AR86" i="1"/>
  <c r="AQ86" i="1"/>
  <c r="AP86" i="1"/>
  <c r="AO86" i="1"/>
  <c r="AN86" i="1"/>
  <c r="AM86" i="1"/>
  <c r="AL86" i="1"/>
  <c r="AK86" i="1"/>
  <c r="AJ86" i="1"/>
  <c r="G86" i="1"/>
  <c r="F86" i="1"/>
  <c r="AR85" i="1"/>
  <c r="AQ85" i="1"/>
  <c r="AP85" i="1"/>
  <c r="AO85" i="1"/>
  <c r="AN85" i="1"/>
  <c r="AM85" i="1"/>
  <c r="AL85" i="1"/>
  <c r="AK85" i="1"/>
  <c r="AJ85" i="1"/>
  <c r="G85" i="1"/>
  <c r="F85" i="1"/>
  <c r="AR84" i="1"/>
  <c r="AQ84" i="1"/>
  <c r="AP84" i="1"/>
  <c r="AO84" i="1"/>
  <c r="AN84" i="1"/>
  <c r="AM84" i="1"/>
  <c r="AL84" i="1"/>
  <c r="AK84" i="1"/>
  <c r="AJ84" i="1"/>
  <c r="G84" i="1"/>
  <c r="F84" i="1"/>
  <c r="AR83" i="1"/>
  <c r="AQ83" i="1"/>
  <c r="AP83" i="1"/>
  <c r="AO83" i="1"/>
  <c r="AN83" i="1"/>
  <c r="AM83" i="1"/>
  <c r="AL83" i="1"/>
  <c r="AK83" i="1"/>
  <c r="AJ83" i="1"/>
  <c r="G83" i="1"/>
  <c r="F83" i="1"/>
  <c r="AR82" i="1"/>
  <c r="AQ82" i="1"/>
  <c r="AP82" i="1"/>
  <c r="AO82" i="1"/>
  <c r="AN82" i="1"/>
  <c r="AM82" i="1"/>
  <c r="AL82" i="1"/>
  <c r="AK82" i="1"/>
  <c r="AJ82" i="1"/>
  <c r="G82" i="1"/>
  <c r="F82" i="1"/>
  <c r="AR80" i="1"/>
  <c r="AQ80" i="1"/>
  <c r="AP80" i="1"/>
  <c r="AO80" i="1"/>
  <c r="AN80" i="1"/>
  <c r="AM80" i="1"/>
  <c r="AL80" i="1"/>
  <c r="AK80" i="1"/>
  <c r="AJ80" i="1"/>
  <c r="G80" i="1"/>
  <c r="F80" i="1"/>
  <c r="AR79" i="1"/>
  <c r="AQ79" i="1"/>
  <c r="AP79" i="1"/>
  <c r="AO79" i="1"/>
  <c r="AN79" i="1"/>
  <c r="AM79" i="1"/>
  <c r="AL79" i="1"/>
  <c r="AK79" i="1"/>
  <c r="AJ79" i="1"/>
  <c r="G79" i="1"/>
  <c r="F79" i="1"/>
  <c r="AR78" i="1"/>
  <c r="AQ78" i="1"/>
  <c r="AP78" i="1"/>
  <c r="AO78" i="1"/>
  <c r="AN78" i="1"/>
  <c r="AM78" i="1"/>
  <c r="AL78" i="1"/>
  <c r="AK78" i="1"/>
  <c r="AJ78" i="1"/>
  <c r="G78" i="1"/>
  <c r="F78" i="1"/>
  <c r="AR77" i="1"/>
  <c r="AQ77" i="1"/>
  <c r="AP77" i="1"/>
  <c r="AO77" i="1"/>
  <c r="AN77" i="1"/>
  <c r="AM77" i="1"/>
  <c r="AL77" i="1"/>
  <c r="AK77" i="1"/>
  <c r="AJ77" i="1"/>
  <c r="G77" i="1"/>
  <c r="F77" i="1"/>
  <c r="AR76" i="1"/>
  <c r="AQ76" i="1"/>
  <c r="AP76" i="1"/>
  <c r="AO76" i="1"/>
  <c r="AN76" i="1"/>
  <c r="AM76" i="1"/>
  <c r="AL76" i="1"/>
  <c r="AK76" i="1"/>
  <c r="AJ76" i="1"/>
  <c r="G76" i="1"/>
  <c r="F76" i="1"/>
  <c r="AR75" i="1"/>
  <c r="AQ75" i="1"/>
  <c r="AP75" i="1"/>
  <c r="AO75" i="1"/>
  <c r="AN75" i="1"/>
  <c r="AM75" i="1"/>
  <c r="AL75" i="1"/>
  <c r="AK75" i="1"/>
  <c r="AJ75" i="1"/>
  <c r="G75" i="1"/>
  <c r="F75" i="1"/>
  <c r="AR74" i="1"/>
  <c r="AQ74" i="1"/>
  <c r="AP74" i="1"/>
  <c r="AO74" i="1"/>
  <c r="AN74" i="1"/>
  <c r="AM74" i="1"/>
  <c r="AL74" i="1"/>
  <c r="AK74" i="1"/>
  <c r="AJ74" i="1"/>
  <c r="G74" i="1"/>
  <c r="F74" i="1"/>
  <c r="AR72" i="1"/>
  <c r="AQ72" i="1"/>
  <c r="AP72" i="1"/>
  <c r="AO72" i="1"/>
  <c r="AN72" i="1"/>
  <c r="AM72" i="1"/>
  <c r="AL72" i="1"/>
  <c r="AK72" i="1"/>
  <c r="AJ72" i="1"/>
  <c r="G72" i="1"/>
  <c r="F72" i="1"/>
  <c r="AR71" i="1"/>
  <c r="AQ71" i="1"/>
  <c r="AP71" i="1"/>
  <c r="AO71" i="1"/>
  <c r="AN71" i="1"/>
  <c r="AM71" i="1"/>
  <c r="AL71" i="1"/>
  <c r="AK71" i="1"/>
  <c r="AJ71" i="1"/>
  <c r="G71" i="1"/>
  <c r="F71" i="1"/>
  <c r="AR70" i="1"/>
  <c r="AQ70" i="1"/>
  <c r="AP70" i="1"/>
  <c r="AO70" i="1"/>
  <c r="AN70" i="1"/>
  <c r="AM70" i="1"/>
  <c r="AL70" i="1"/>
  <c r="AK70" i="1"/>
  <c r="AJ70" i="1"/>
  <c r="G70" i="1"/>
  <c r="F70" i="1"/>
  <c r="AR69" i="1"/>
  <c r="AQ69" i="1"/>
  <c r="AP69" i="1"/>
  <c r="AO69" i="1"/>
  <c r="AN69" i="1"/>
  <c r="AM69" i="1"/>
  <c r="AL69" i="1"/>
  <c r="AK69" i="1"/>
  <c r="AJ69" i="1"/>
  <c r="G69" i="1"/>
  <c r="F69" i="1"/>
  <c r="AR68" i="1"/>
  <c r="AQ68" i="1"/>
  <c r="AP68" i="1"/>
  <c r="AO68" i="1"/>
  <c r="AN68" i="1"/>
  <c r="AM68" i="1"/>
  <c r="AL68" i="1"/>
  <c r="AK68" i="1"/>
  <c r="AJ68" i="1"/>
  <c r="G68" i="1"/>
  <c r="F68" i="1"/>
  <c r="AR67" i="1"/>
  <c r="AQ67" i="1"/>
  <c r="AP67" i="1"/>
  <c r="AO67" i="1"/>
  <c r="AN67" i="1"/>
  <c r="AM67" i="1"/>
  <c r="AL67" i="1"/>
  <c r="AK67" i="1"/>
  <c r="AJ67" i="1"/>
  <c r="G67" i="1"/>
  <c r="F67" i="1"/>
  <c r="AR66" i="1"/>
  <c r="AQ66" i="1"/>
  <c r="AP66" i="1"/>
  <c r="AO66" i="1"/>
  <c r="AN66" i="1"/>
  <c r="AM66" i="1"/>
  <c r="AL66" i="1"/>
  <c r="AK66" i="1"/>
  <c r="AJ66" i="1"/>
  <c r="G66" i="1"/>
  <c r="F66" i="1"/>
  <c r="AR65" i="1"/>
  <c r="AQ65" i="1"/>
  <c r="AP65" i="1"/>
  <c r="AO65" i="1"/>
  <c r="AN65" i="1"/>
  <c r="AM65" i="1"/>
  <c r="AL65" i="1"/>
  <c r="AK65" i="1"/>
  <c r="AJ65" i="1"/>
  <c r="G65" i="1"/>
  <c r="F65" i="1"/>
  <c r="AR63" i="1"/>
  <c r="AQ63" i="1"/>
  <c r="AP63" i="1"/>
  <c r="AO63" i="1"/>
  <c r="AN63" i="1"/>
  <c r="AM63" i="1"/>
  <c r="AL63" i="1"/>
  <c r="AK63" i="1"/>
  <c r="AJ63" i="1"/>
  <c r="G63" i="1"/>
  <c r="F63" i="1"/>
  <c r="AR62" i="1"/>
  <c r="AQ62" i="1"/>
  <c r="AP62" i="1"/>
  <c r="AO62" i="1"/>
  <c r="AN62" i="1"/>
  <c r="AM62" i="1"/>
  <c r="AL62" i="1"/>
  <c r="AK62" i="1"/>
  <c r="AJ62" i="1"/>
  <c r="G62" i="1"/>
  <c r="F62" i="1"/>
  <c r="AR61" i="1"/>
  <c r="AQ61" i="1"/>
  <c r="AP61" i="1"/>
  <c r="AO61" i="1"/>
  <c r="AN61" i="1"/>
  <c r="AM61" i="1"/>
  <c r="AL61" i="1"/>
  <c r="AK61" i="1"/>
  <c r="AJ61" i="1"/>
  <c r="G61" i="1"/>
  <c r="F61" i="1"/>
  <c r="AR60" i="1"/>
  <c r="AQ60" i="1"/>
  <c r="AP60" i="1"/>
  <c r="AO60" i="1"/>
  <c r="AN60" i="1"/>
  <c r="AM60" i="1"/>
  <c r="AL60" i="1"/>
  <c r="AK60" i="1"/>
  <c r="AJ60" i="1"/>
  <c r="G60" i="1"/>
  <c r="F60" i="1"/>
  <c r="AR59" i="1"/>
  <c r="AQ59" i="1"/>
  <c r="AP59" i="1"/>
  <c r="AO59" i="1"/>
  <c r="AN59" i="1"/>
  <c r="AM59" i="1"/>
  <c r="AL59" i="1"/>
  <c r="AK59" i="1"/>
  <c r="AJ59" i="1"/>
  <c r="G59" i="1"/>
  <c r="F59" i="1"/>
  <c r="AR57" i="1"/>
  <c r="AQ57" i="1"/>
  <c r="AP57" i="1"/>
  <c r="AO57" i="1"/>
  <c r="AN57" i="1"/>
  <c r="AM57" i="1"/>
  <c r="AL57" i="1"/>
  <c r="AK57" i="1"/>
  <c r="AJ57" i="1"/>
  <c r="G57" i="1"/>
  <c r="F57" i="1"/>
  <c r="AR56" i="1"/>
  <c r="AQ56" i="1"/>
  <c r="AP56" i="1"/>
  <c r="AO56" i="1"/>
  <c r="AN56" i="1"/>
  <c r="AM56" i="1"/>
  <c r="AL56" i="1"/>
  <c r="AK56" i="1"/>
  <c r="AJ56" i="1"/>
  <c r="G56" i="1"/>
  <c r="F56" i="1"/>
  <c r="AR55" i="1"/>
  <c r="AQ55" i="1"/>
  <c r="AP55" i="1"/>
  <c r="AO55" i="1"/>
  <c r="AN55" i="1"/>
  <c r="AM55" i="1"/>
  <c r="AL55" i="1"/>
  <c r="AK55" i="1"/>
  <c r="AJ55" i="1"/>
  <c r="G55" i="1"/>
  <c r="F55" i="1"/>
  <c r="AR54" i="1"/>
  <c r="AQ54" i="1"/>
  <c r="AP54" i="1"/>
  <c r="AO54" i="1"/>
  <c r="AN54" i="1"/>
  <c r="AM54" i="1"/>
  <c r="AL54" i="1"/>
  <c r="AK54" i="1"/>
  <c r="AJ54" i="1"/>
  <c r="G54" i="1"/>
  <c r="F54" i="1"/>
  <c r="AR53" i="1"/>
  <c r="AQ53" i="1"/>
  <c r="AP53" i="1"/>
  <c r="AO53" i="1"/>
  <c r="AN53" i="1"/>
  <c r="AM53" i="1"/>
  <c r="AL53" i="1"/>
  <c r="AK53" i="1"/>
  <c r="AJ53" i="1"/>
  <c r="G53" i="1"/>
  <c r="F53" i="1"/>
  <c r="AR52" i="1"/>
  <c r="AQ52" i="1"/>
  <c r="AP52" i="1"/>
  <c r="AO52" i="1"/>
  <c r="AN52" i="1"/>
  <c r="AM52" i="1"/>
  <c r="AL52" i="1"/>
  <c r="AK52" i="1"/>
  <c r="AJ52" i="1"/>
  <c r="G52" i="1"/>
  <c r="F52" i="1"/>
  <c r="AR51" i="1"/>
  <c r="AQ51" i="1"/>
  <c r="AP51" i="1"/>
  <c r="AO51" i="1"/>
  <c r="AN51" i="1"/>
  <c r="AM51" i="1"/>
  <c r="AL51" i="1"/>
  <c r="AK51" i="1"/>
  <c r="AJ51" i="1"/>
  <c r="G51" i="1"/>
  <c r="F51" i="1"/>
  <c r="AR49" i="1"/>
  <c r="AQ49" i="1"/>
  <c r="AP49" i="1"/>
  <c r="AO49" i="1"/>
  <c r="AN49" i="1"/>
  <c r="AM49" i="1"/>
  <c r="AL49" i="1"/>
  <c r="AK49" i="1"/>
  <c r="AJ49" i="1"/>
  <c r="AR48" i="1"/>
  <c r="AQ48" i="1"/>
  <c r="AP48" i="1"/>
  <c r="AO48" i="1"/>
  <c r="AN48" i="1"/>
  <c r="AM48" i="1"/>
  <c r="AL48" i="1"/>
  <c r="AK48" i="1"/>
  <c r="AJ48" i="1"/>
  <c r="G48" i="1"/>
  <c r="F48" i="1"/>
  <c r="AR47" i="1"/>
  <c r="AQ47" i="1"/>
  <c r="AP47" i="1"/>
  <c r="AO47" i="1"/>
  <c r="AN47" i="1"/>
  <c r="AM47" i="1"/>
  <c r="AL47" i="1"/>
  <c r="AK47" i="1"/>
  <c r="AJ47" i="1"/>
  <c r="AR46" i="1"/>
  <c r="AQ46" i="1"/>
  <c r="AP46" i="1"/>
  <c r="AO46" i="1"/>
  <c r="AN46" i="1"/>
  <c r="AM46" i="1"/>
  <c r="AL46" i="1"/>
  <c r="AK46" i="1"/>
  <c r="AJ46" i="1"/>
  <c r="G46" i="1"/>
  <c r="F46" i="1"/>
  <c r="AR45" i="1"/>
  <c r="AQ45" i="1"/>
  <c r="AP45" i="1"/>
  <c r="AO45" i="1"/>
  <c r="AN45" i="1"/>
  <c r="AM45" i="1"/>
  <c r="AL45" i="1"/>
  <c r="AK45" i="1"/>
  <c r="AJ45" i="1"/>
  <c r="G45" i="1"/>
  <c r="F45" i="1"/>
  <c r="AR43" i="1"/>
  <c r="AQ43" i="1"/>
  <c r="AP43" i="1"/>
  <c r="AO43" i="1"/>
  <c r="AN43" i="1"/>
  <c r="AM43" i="1"/>
  <c r="AL43" i="1"/>
  <c r="AK43" i="1"/>
  <c r="AJ43" i="1"/>
  <c r="G43" i="1"/>
  <c r="F43" i="1"/>
  <c r="AR42" i="1"/>
  <c r="AQ42" i="1"/>
  <c r="AP42" i="1"/>
  <c r="AO42" i="1"/>
  <c r="AN42" i="1"/>
  <c r="AM42" i="1"/>
  <c r="AL42" i="1"/>
  <c r="AK42" i="1"/>
  <c r="AJ42" i="1"/>
  <c r="G42" i="1"/>
  <c r="F42" i="1"/>
  <c r="AR41" i="1"/>
  <c r="AQ41" i="1"/>
  <c r="AP41" i="1"/>
  <c r="AO41" i="1"/>
  <c r="AN41" i="1"/>
  <c r="AM41" i="1"/>
  <c r="AL41" i="1"/>
  <c r="AK41" i="1"/>
  <c r="AJ41" i="1"/>
  <c r="G41" i="1"/>
  <c r="F41" i="1"/>
  <c r="AR39" i="1"/>
  <c r="AQ39" i="1"/>
  <c r="AP39" i="1"/>
  <c r="AO39" i="1"/>
  <c r="AN39" i="1"/>
  <c r="AM39" i="1"/>
  <c r="AL39" i="1"/>
  <c r="AK39" i="1"/>
  <c r="AJ39" i="1"/>
  <c r="G39" i="1"/>
  <c r="F39" i="1"/>
  <c r="AR38" i="1"/>
  <c r="AQ38" i="1"/>
  <c r="AP38" i="1"/>
  <c r="AO38" i="1"/>
  <c r="AN38" i="1"/>
  <c r="AM38" i="1"/>
  <c r="AL38" i="1"/>
  <c r="AK38" i="1"/>
  <c r="AJ38" i="1"/>
  <c r="AR37" i="1"/>
  <c r="AQ37" i="1"/>
  <c r="AP37" i="1"/>
  <c r="AO37" i="1"/>
  <c r="AN37" i="1"/>
  <c r="AM37" i="1"/>
  <c r="AL37" i="1"/>
  <c r="AK37" i="1"/>
  <c r="AJ37" i="1"/>
  <c r="AR36" i="1"/>
  <c r="AQ36" i="1"/>
  <c r="AP36" i="1"/>
  <c r="AO36" i="1"/>
  <c r="AN36" i="1"/>
  <c r="AM36" i="1"/>
  <c r="AL36" i="1"/>
  <c r="AK36" i="1"/>
  <c r="AJ36" i="1"/>
  <c r="AR34" i="1"/>
  <c r="AQ34" i="1"/>
  <c r="AP34" i="1"/>
  <c r="AO34" i="1"/>
  <c r="AN34" i="1"/>
  <c r="AM34" i="1"/>
  <c r="AL34" i="1"/>
  <c r="AK34" i="1"/>
  <c r="AJ34" i="1"/>
  <c r="G34" i="1"/>
  <c r="F34" i="1"/>
  <c r="AR33" i="1"/>
  <c r="AQ33" i="1"/>
  <c r="AP33" i="1"/>
  <c r="AO33" i="1"/>
  <c r="AN33" i="1"/>
  <c r="AM33" i="1"/>
  <c r="AL33" i="1"/>
  <c r="AK33" i="1"/>
  <c r="AJ33" i="1"/>
  <c r="G33" i="1"/>
  <c r="F33" i="1"/>
  <c r="AR32" i="1"/>
  <c r="AQ32" i="1"/>
  <c r="AP32" i="1"/>
  <c r="AO32" i="1"/>
  <c r="AN32" i="1"/>
  <c r="AM32" i="1"/>
  <c r="AL32" i="1"/>
  <c r="AK32" i="1"/>
  <c r="AJ32" i="1"/>
  <c r="AR31" i="1"/>
  <c r="AQ31" i="1"/>
  <c r="AP31" i="1"/>
  <c r="AO31" i="1"/>
  <c r="AN31" i="1"/>
  <c r="AM31" i="1"/>
  <c r="AL31" i="1"/>
  <c r="AK31" i="1"/>
  <c r="AJ31" i="1"/>
  <c r="G31" i="1"/>
  <c r="F31" i="1"/>
  <c r="AR29" i="1"/>
  <c r="AQ29" i="1"/>
  <c r="AP29" i="1"/>
  <c r="AO29" i="1"/>
  <c r="AN29" i="1"/>
  <c r="AM29" i="1"/>
  <c r="AL29" i="1"/>
  <c r="AK29" i="1"/>
  <c r="AJ29" i="1"/>
  <c r="G29" i="1"/>
  <c r="F29" i="1"/>
  <c r="AR28" i="1"/>
  <c r="AQ28" i="1"/>
  <c r="AP28" i="1"/>
  <c r="AO28" i="1"/>
  <c r="AN28" i="1"/>
  <c r="AM28" i="1"/>
  <c r="AL28" i="1"/>
  <c r="AK28" i="1"/>
  <c r="AJ28" i="1"/>
  <c r="G28" i="1"/>
  <c r="F28" i="1"/>
  <c r="AR27" i="1"/>
  <c r="AQ27" i="1"/>
  <c r="AP27" i="1"/>
  <c r="AO27" i="1"/>
  <c r="AN27" i="1"/>
  <c r="AM27" i="1"/>
  <c r="AL27" i="1"/>
  <c r="AK27" i="1"/>
  <c r="AJ27" i="1"/>
  <c r="G27" i="1"/>
  <c r="F27" i="1"/>
  <c r="AR26" i="1"/>
  <c r="AQ26" i="1"/>
  <c r="AP26" i="1"/>
  <c r="AO26" i="1"/>
  <c r="AN26" i="1"/>
  <c r="AM26" i="1"/>
  <c r="AL26" i="1"/>
  <c r="AK26" i="1"/>
  <c r="AJ26" i="1"/>
  <c r="G26" i="1"/>
  <c r="F26" i="1"/>
  <c r="AR25" i="1"/>
  <c r="AQ25" i="1"/>
  <c r="AP25" i="1"/>
  <c r="AO25" i="1"/>
  <c r="AN25" i="1"/>
  <c r="AM25" i="1"/>
  <c r="AL25" i="1"/>
  <c r="AK25" i="1"/>
  <c r="G25" i="1"/>
  <c r="F25" i="1"/>
  <c r="AR24" i="1"/>
  <c r="AQ24" i="1"/>
  <c r="AP24" i="1"/>
  <c r="AO24" i="1"/>
  <c r="AN24" i="1"/>
  <c r="AM24" i="1"/>
  <c r="AL24" i="1"/>
  <c r="AK24" i="1"/>
  <c r="AJ24" i="1"/>
  <c r="G24" i="1"/>
  <c r="F24" i="1"/>
  <c r="AR23" i="1"/>
  <c r="AQ23" i="1"/>
  <c r="AP23" i="1"/>
  <c r="AO23" i="1"/>
  <c r="AN23" i="1"/>
  <c r="AM23" i="1"/>
  <c r="AL23" i="1"/>
  <c r="AK23" i="1"/>
  <c r="AJ23" i="1"/>
  <c r="G23" i="1"/>
  <c r="F23" i="1"/>
  <c r="AR22" i="1"/>
  <c r="AQ22" i="1"/>
  <c r="AP22" i="1"/>
  <c r="AO22" i="1"/>
  <c r="AN22" i="1"/>
  <c r="AM22" i="1"/>
  <c r="AL22" i="1"/>
  <c r="AK22" i="1"/>
  <c r="AJ22" i="1"/>
  <c r="G22" i="1"/>
  <c r="F22" i="1"/>
  <c r="AR21" i="1"/>
  <c r="AQ21" i="1"/>
  <c r="AP21" i="1"/>
  <c r="AO21" i="1"/>
  <c r="AN21" i="1"/>
  <c r="AM21" i="1"/>
  <c r="AL21" i="1"/>
  <c r="AK21" i="1"/>
  <c r="AJ21" i="1"/>
  <c r="G21" i="1"/>
  <c r="F21" i="1"/>
  <c r="AR19" i="1"/>
  <c r="AQ19" i="1"/>
  <c r="AP19" i="1"/>
  <c r="AO19" i="1"/>
  <c r="AN19" i="1"/>
  <c r="AM19" i="1"/>
  <c r="AL19" i="1"/>
  <c r="AK19" i="1"/>
  <c r="AJ19" i="1"/>
  <c r="AR18" i="1"/>
  <c r="AQ18" i="1"/>
  <c r="AP18" i="1"/>
  <c r="AO18" i="1"/>
  <c r="AN18" i="1"/>
  <c r="AM18" i="1"/>
  <c r="AL18" i="1"/>
  <c r="AK18" i="1"/>
  <c r="AJ18" i="1"/>
  <c r="AR17" i="1"/>
  <c r="AQ17" i="1"/>
  <c r="AP17" i="1"/>
  <c r="AO17" i="1"/>
  <c r="AN17" i="1"/>
  <c r="AM17" i="1"/>
  <c r="AL17" i="1"/>
  <c r="AK17" i="1"/>
  <c r="AJ17" i="1"/>
  <c r="AR16" i="1"/>
  <c r="AQ16" i="1"/>
  <c r="AP16" i="1"/>
  <c r="AO16" i="1"/>
  <c r="AN16" i="1"/>
  <c r="AM16" i="1"/>
  <c r="AL16" i="1"/>
  <c r="AK16" i="1"/>
  <c r="AJ16" i="1"/>
  <c r="AR15" i="1"/>
  <c r="AQ15" i="1"/>
  <c r="AP15" i="1"/>
  <c r="AO15" i="1"/>
  <c r="AN15" i="1"/>
  <c r="AM15" i="1"/>
  <c r="AL15" i="1"/>
  <c r="AK15" i="1"/>
  <c r="AJ15" i="1"/>
  <c r="AR14" i="1"/>
  <c r="AQ14" i="1"/>
  <c r="AP14" i="1"/>
  <c r="AO14" i="1"/>
  <c r="AN14" i="1"/>
  <c r="AM14" i="1"/>
  <c r="AL14" i="1"/>
  <c r="AK14" i="1"/>
  <c r="AJ14" i="1"/>
  <c r="AR13" i="1"/>
  <c r="AQ13" i="1"/>
  <c r="AP13" i="1"/>
  <c r="AO13" i="1"/>
  <c r="AN13" i="1"/>
  <c r="AM13" i="1"/>
  <c r="AL13" i="1"/>
  <c r="AK13" i="1"/>
  <c r="AJ13" i="1"/>
  <c r="AR12" i="1"/>
  <c r="AQ12" i="1"/>
  <c r="AP12" i="1"/>
  <c r="AO12" i="1"/>
  <c r="AN12" i="1"/>
  <c r="AM12" i="1"/>
  <c r="AL12" i="1"/>
  <c r="AK12" i="1"/>
  <c r="AJ12" i="1"/>
  <c r="AR11" i="1"/>
  <c r="AQ11" i="1"/>
  <c r="AP11" i="1"/>
  <c r="AO11" i="1"/>
  <c r="AN11" i="1"/>
  <c r="AM11" i="1"/>
  <c r="AL11" i="1"/>
  <c r="AK11" i="1"/>
  <c r="AJ11" i="1"/>
  <c r="AR10" i="1"/>
  <c r="AQ10" i="1"/>
  <c r="AP10" i="1"/>
  <c r="AO10" i="1"/>
  <c r="AN10" i="1"/>
  <c r="AM10" i="1"/>
  <c r="AL10" i="1"/>
  <c r="AK10" i="1"/>
  <c r="AJ10" i="1"/>
  <c r="AR9" i="1"/>
  <c r="AQ9" i="1"/>
  <c r="AP9" i="1"/>
  <c r="AO9" i="1"/>
  <c r="AN9" i="1"/>
  <c r="AM9" i="1"/>
  <c r="AL9" i="1"/>
  <c r="AK9" i="1"/>
  <c r="AR7" i="1"/>
  <c r="AQ7" i="1"/>
  <c r="AP7" i="1"/>
  <c r="AO7" i="1"/>
  <c r="AN7" i="1"/>
  <c r="AM7" i="1"/>
  <c r="AL7" i="1"/>
  <c r="AK7" i="1"/>
  <c r="AJ7" i="1"/>
  <c r="G7" i="1"/>
  <c r="F7" i="1"/>
  <c r="AR6" i="1"/>
  <c r="AQ6" i="1"/>
  <c r="AP6" i="1"/>
  <c r="AO6" i="1"/>
  <c r="AN6" i="1"/>
  <c r="AM6" i="1"/>
  <c r="AL6" i="1"/>
  <c r="AK6" i="1"/>
  <c r="AJ6" i="1"/>
  <c r="G6" i="1"/>
  <c r="F6" i="1"/>
  <c r="AR5" i="1"/>
  <c r="AQ5" i="1"/>
  <c r="AP5" i="1"/>
  <c r="AO5" i="1"/>
  <c r="AN5" i="1"/>
  <c r="AM5" i="1"/>
  <c r="AL5" i="1"/>
  <c r="AK5" i="1"/>
  <c r="AJ5" i="1"/>
  <c r="G5" i="1"/>
  <c r="F5" i="1"/>
  <c r="AR4" i="1"/>
  <c r="AQ4" i="1"/>
  <c r="AP4" i="1"/>
  <c r="AO4" i="1"/>
  <c r="AN4" i="1"/>
  <c r="AM4" i="1"/>
  <c r="AL4" i="1"/>
  <c r="AK4" i="1"/>
  <c r="AJ4" i="1"/>
  <c r="G4" i="1"/>
  <c r="F4" i="1"/>
  <c r="AS2" i="1"/>
  <c r="G43" i="10"/>
  <c r="F43" i="10"/>
  <c r="G42" i="10"/>
  <c r="F42" i="10"/>
  <c r="G41" i="10"/>
  <c r="F41" i="10"/>
  <c r="G39" i="10"/>
  <c r="F39" i="10"/>
  <c r="G38" i="10"/>
  <c r="F38" i="10"/>
  <c r="G37" i="10"/>
  <c r="F37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9" i="10"/>
  <c r="F9" i="10"/>
  <c r="G8" i="10"/>
  <c r="F8" i="10"/>
  <c r="G7" i="10"/>
  <c r="F7" i="10"/>
  <c r="G6" i="10"/>
  <c r="F6" i="10"/>
  <c r="G5" i="10"/>
  <c r="F5" i="10"/>
  <c r="F6" i="23"/>
  <c r="E6" i="23"/>
  <c r="F5" i="23"/>
  <c r="E5" i="23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F15" i="24"/>
  <c r="E15" i="24"/>
  <c r="F14" i="24"/>
  <c r="E14" i="24"/>
  <c r="F13" i="24"/>
  <c r="E13" i="24"/>
  <c r="F12" i="24"/>
  <c r="E12" i="24"/>
  <c r="F11" i="24"/>
  <c r="E11" i="24"/>
  <c r="F10" i="24"/>
  <c r="E10" i="24"/>
  <c r="F9" i="24"/>
  <c r="E9" i="24"/>
  <c r="F8" i="24"/>
  <c r="E8" i="24"/>
  <c r="F7" i="24"/>
  <c r="E7" i="24"/>
  <c r="F6" i="24"/>
  <c r="E6" i="24"/>
  <c r="F9" i="33"/>
  <c r="E9" i="33"/>
  <c r="F8" i="33"/>
  <c r="E8" i="33"/>
  <c r="F7" i="33"/>
  <c r="E7" i="33"/>
  <c r="F6" i="33"/>
  <c r="E6" i="33"/>
  <c r="F5" i="33"/>
  <c r="E5" i="33"/>
  <c r="F11" i="32"/>
  <c r="E11" i="32"/>
  <c r="F10" i="32"/>
  <c r="E10" i="32"/>
  <c r="F9" i="32"/>
  <c r="E9" i="32"/>
  <c r="F8" i="32"/>
  <c r="E8" i="32"/>
  <c r="F7" i="32"/>
  <c r="E7" i="32"/>
  <c r="F6" i="32"/>
  <c r="E6" i="32"/>
  <c r="F5" i="32"/>
  <c r="E5" i="32"/>
  <c r="H28" i="6"/>
  <c r="G28" i="6"/>
  <c r="AQ260" i="1" l="1"/>
  <c r="AM260" i="1"/>
  <c r="AR260" i="1"/>
  <c r="AJ260" i="1"/>
  <c r="AN260" i="1"/>
  <c r="AK260" i="1"/>
  <c r="AO260" i="1"/>
  <c r="AL260" i="1"/>
  <c r="AP260" i="1"/>
  <c r="AF260" i="1"/>
  <c r="AM50" i="1"/>
  <c r="AQ50" i="1"/>
  <c r="AK35" i="1"/>
  <c r="AO35" i="1"/>
  <c r="AJ50" i="1"/>
  <c r="AN50" i="1"/>
  <c r="AR50" i="1"/>
  <c r="AR228" i="1"/>
  <c r="AK8" i="1"/>
  <c r="AN30" i="1"/>
  <c r="AF228" i="1"/>
  <c r="AM35" i="1"/>
  <c r="AQ35" i="1"/>
  <c r="AM44" i="1"/>
  <c r="AQ44" i="1"/>
  <c r="AJ44" i="1"/>
  <c r="AN44" i="1"/>
  <c r="AR44" i="1"/>
  <c r="AL50" i="1"/>
  <c r="AP50" i="1"/>
  <c r="AK239" i="1"/>
  <c r="AO239" i="1"/>
  <c r="AE106" i="1"/>
  <c r="AE228" i="1"/>
  <c r="AL8" i="1"/>
  <c r="AP8" i="1"/>
  <c r="AJ30" i="1"/>
  <c r="AR30" i="1"/>
  <c r="AQ30" i="1"/>
  <c r="AR239" i="1"/>
  <c r="AM20" i="1"/>
  <c r="AQ20" i="1"/>
  <c r="AK20" i="1"/>
  <c r="AO20" i="1"/>
  <c r="AJ20" i="1"/>
  <c r="AN20" i="1"/>
  <c r="AM58" i="1"/>
  <c r="AQ58" i="1"/>
  <c r="AJ58" i="1"/>
  <c r="AN58" i="1"/>
  <c r="AR58" i="1"/>
  <c r="AM73" i="1"/>
  <c r="AQ73" i="1"/>
  <c r="AJ73" i="1"/>
  <c r="AN73" i="1"/>
  <c r="AR73" i="1"/>
  <c r="AK73" i="1"/>
  <c r="AO73" i="1"/>
  <c r="AM81" i="1"/>
  <c r="AQ81" i="1"/>
  <c r="AL88" i="1"/>
  <c r="AP88" i="1"/>
  <c r="AJ106" i="1"/>
  <c r="AN106" i="1"/>
  <c r="AR106" i="1"/>
  <c r="AL106" i="1"/>
  <c r="AP106" i="1"/>
  <c r="AM106" i="1"/>
  <c r="AQ106" i="1"/>
  <c r="AM202" i="1"/>
  <c r="AQ202" i="1"/>
  <c r="AF106" i="1"/>
  <c r="AM8" i="1"/>
  <c r="AQ8" i="1"/>
  <c r="AJ8" i="1"/>
  <c r="AN8" i="1"/>
  <c r="AO8" i="1"/>
  <c r="AR20" i="1"/>
  <c r="AM30" i="1"/>
  <c r="AK30" i="1"/>
  <c r="AO30" i="1"/>
  <c r="AL30" i="1"/>
  <c r="AP30" i="1"/>
  <c r="AJ35" i="1"/>
  <c r="AN35" i="1"/>
  <c r="AR35" i="1"/>
  <c r="AJ40" i="1"/>
  <c r="AN40" i="1"/>
  <c r="AR40" i="1"/>
  <c r="AJ81" i="1"/>
  <c r="AN81" i="1"/>
  <c r="AR81" i="1"/>
  <c r="AM88" i="1"/>
  <c r="AQ88" i="1"/>
  <c r="AK93" i="1"/>
  <c r="AO93" i="1"/>
  <c r="AK106" i="1"/>
  <c r="AO106" i="1"/>
  <c r="AL119" i="1"/>
  <c r="AP119" i="1"/>
  <c r="AN119" i="1"/>
  <c r="AR119" i="1"/>
  <c r="AJ202" i="1"/>
  <c r="AN202" i="1"/>
  <c r="AR202" i="1"/>
  <c r="AJ214" i="1"/>
  <c r="AN214" i="1"/>
  <c r="AR214" i="1"/>
  <c r="AL214" i="1"/>
  <c r="AP214" i="1"/>
  <c r="AM228" i="1"/>
  <c r="AQ228" i="1"/>
  <c r="AL239" i="1"/>
  <c r="AP239" i="1"/>
  <c r="AK40" i="1"/>
  <c r="AO40" i="1"/>
  <c r="AM40" i="1"/>
  <c r="AQ40" i="1"/>
  <c r="AK44" i="1"/>
  <c r="AO44" i="1"/>
  <c r="AK58" i="1"/>
  <c r="AO58" i="1"/>
  <c r="AJ64" i="1"/>
  <c r="AN64" i="1"/>
  <c r="AR64" i="1"/>
  <c r="AL64" i="1"/>
  <c r="AP64" i="1"/>
  <c r="AM64" i="1"/>
  <c r="AQ64" i="1"/>
  <c r="AK81" i="1"/>
  <c r="AO81" i="1"/>
  <c r="AL81" i="1"/>
  <c r="AP81" i="1"/>
  <c r="AJ88" i="1"/>
  <c r="AN88" i="1"/>
  <c r="AR88" i="1"/>
  <c r="AL93" i="1"/>
  <c r="AP93" i="1"/>
  <c r="AM93" i="1"/>
  <c r="AQ93" i="1"/>
  <c r="AJ93" i="1"/>
  <c r="AN93" i="1"/>
  <c r="AR93" i="1"/>
  <c r="AM119" i="1"/>
  <c r="AQ119" i="1"/>
  <c r="AK119" i="1"/>
  <c r="AO119" i="1"/>
  <c r="AJ119" i="1"/>
  <c r="AK202" i="1"/>
  <c r="AO202" i="1"/>
  <c r="AK214" i="1"/>
  <c r="AO214" i="1"/>
  <c r="AM214" i="1"/>
  <c r="AQ214" i="1"/>
  <c r="AJ228" i="1"/>
  <c r="AN228" i="1"/>
  <c r="AK228" i="1"/>
  <c r="AO228" i="1"/>
  <c r="AL228" i="1"/>
  <c r="AP228" i="1"/>
  <c r="AM239" i="1"/>
  <c r="AQ239" i="1"/>
  <c r="AL20" i="1"/>
  <c r="AP20" i="1"/>
  <c r="AL40" i="1"/>
  <c r="AP40" i="1"/>
  <c r="AL44" i="1"/>
  <c r="AP44" i="1"/>
  <c r="AK50" i="1"/>
  <c r="AO50" i="1"/>
  <c r="AL58" i="1"/>
  <c r="AP58" i="1"/>
  <c r="AK64" i="1"/>
  <c r="AO64" i="1"/>
  <c r="AL73" i="1"/>
  <c r="AP73" i="1"/>
  <c r="AK88" i="1"/>
  <c r="AO88" i="1"/>
  <c r="AL202" i="1"/>
  <c r="AP202" i="1"/>
  <c r="AJ239" i="1"/>
  <c r="AN239" i="1"/>
  <c r="AR8" i="1"/>
  <c r="AL35" i="1"/>
  <c r="AP35" i="1"/>
  <c r="AS119" i="1" l="1"/>
  <c r="AS20" i="1"/>
  <c r="AS35" i="1"/>
  <c r="AS73" i="1"/>
  <c r="AS8" i="1"/>
  <c r="AS239" i="1"/>
  <c r="AS88" i="1"/>
  <c r="AS50" i="1"/>
  <c r="AS260" i="1"/>
  <c r="AS228" i="1"/>
  <c r="AS93" i="1"/>
  <c r="AS58" i="1"/>
  <c r="AS106" i="1"/>
  <c r="AS30" i="1"/>
  <c r="AS44" i="1"/>
  <c r="AS202" i="1"/>
  <c r="AS40" i="1"/>
  <c r="AS64" i="1"/>
  <c r="AS214" i="1"/>
  <c r="AS81" i="1"/>
  <c r="T2" i="4" l="1"/>
  <c r="U2" i="4"/>
  <c r="V2" i="4"/>
  <c r="X2" i="4"/>
  <c r="AJ253" i="4" l="1"/>
  <c r="AJ234" i="4"/>
  <c r="AJ218" i="4"/>
  <c r="AJ174" i="4"/>
  <c r="AJ166" i="4"/>
  <c r="AJ156" i="4"/>
  <c r="AJ130" i="4"/>
  <c r="AJ85" i="4"/>
  <c r="AJ73" i="4"/>
  <c r="AJ67" i="4"/>
  <c r="AJ59" i="4"/>
  <c r="AJ122" i="4"/>
  <c r="AJ43" i="4"/>
  <c r="AJ244" i="4"/>
  <c r="AJ214" i="4"/>
  <c r="AJ201" i="4"/>
  <c r="AJ169" i="4"/>
  <c r="AJ164" i="4"/>
  <c r="AJ146" i="4"/>
  <c r="AJ123" i="4"/>
  <c r="AJ117" i="4"/>
  <c r="AJ101" i="4"/>
  <c r="AJ97" i="4"/>
  <c r="AJ60" i="4"/>
  <c r="AJ35" i="4"/>
  <c r="AJ163" i="4"/>
  <c r="AJ34" i="4"/>
  <c r="AJ241" i="4"/>
  <c r="AJ172" i="4"/>
  <c r="AJ165" i="4"/>
  <c r="AJ157" i="4"/>
  <c r="AJ150" i="4"/>
  <c r="AJ145" i="4"/>
  <c r="AJ124" i="4"/>
  <c r="AJ98" i="4"/>
  <c r="AJ83" i="4"/>
  <c r="AJ71" i="4"/>
  <c r="AJ212" i="4"/>
  <c r="AJ173" i="4"/>
  <c r="AJ149" i="4"/>
  <c r="AJ144" i="4"/>
  <c r="AJ84" i="4"/>
  <c r="AK6" i="4"/>
  <c r="AK43" i="4"/>
  <c r="AK59" i="4"/>
  <c r="AI6" i="4"/>
  <c r="AI270" i="4"/>
  <c r="AI261" i="4"/>
  <c r="AI259" i="4"/>
  <c r="AI257" i="4"/>
  <c r="AI212" i="4"/>
  <c r="AI173" i="4"/>
  <c r="AI163" i="4"/>
  <c r="AI149" i="4"/>
  <c r="AI122" i="4"/>
  <c r="AI84" i="4"/>
  <c r="AI43" i="4"/>
  <c r="AI22" i="4"/>
  <c r="AI19" i="4"/>
  <c r="AI15" i="4"/>
  <c r="AI187" i="4"/>
  <c r="AI157" i="4"/>
  <c r="AI71" i="4"/>
  <c r="AI16" i="4"/>
  <c r="AI256" i="4"/>
  <c r="AI234" i="4"/>
  <c r="AI195" i="4"/>
  <c r="AI174" i="4"/>
  <c r="AI156" i="4"/>
  <c r="AI130" i="4"/>
  <c r="AI85" i="4"/>
  <c r="AI73" i="4"/>
  <c r="AI59" i="4"/>
  <c r="AI18" i="4"/>
  <c r="AI14" i="4"/>
  <c r="AI255" i="4"/>
  <c r="AI172" i="4"/>
  <c r="AI124" i="4"/>
  <c r="AI98" i="4"/>
  <c r="AI83" i="4"/>
  <c r="AI271" i="4"/>
  <c r="AI269" i="4"/>
  <c r="AI260" i="4"/>
  <c r="AI258" i="4"/>
  <c r="AI222" i="4"/>
  <c r="AI213" i="4"/>
  <c r="AI201" i="4"/>
  <c r="AI179" i="4"/>
  <c r="AI169" i="4"/>
  <c r="AI164" i="4"/>
  <c r="AI123" i="4"/>
  <c r="AI117" i="4"/>
  <c r="AI97" i="4"/>
  <c r="AI60" i="4"/>
  <c r="AI35" i="4"/>
  <c r="AI21" i="4"/>
  <c r="AI17" i="4"/>
  <c r="AI13" i="4"/>
  <c r="AI241" i="4"/>
  <c r="AI165" i="4"/>
  <c r="AI108" i="4"/>
  <c r="AI20" i="4"/>
  <c r="AH20" i="4"/>
  <c r="AH196" i="4"/>
  <c r="AH187" i="4"/>
  <c r="AH172" i="4"/>
  <c r="AH165" i="4"/>
  <c r="AH124" i="4"/>
  <c r="AH108" i="4"/>
  <c r="AH98" i="4"/>
  <c r="AH6" i="4"/>
  <c r="AH271" i="4"/>
  <c r="AH258" i="4"/>
  <c r="AH222" i="4"/>
  <c r="AH169" i="4"/>
  <c r="AH97" i="4"/>
  <c r="AH19" i="4"/>
  <c r="AH270" i="4"/>
  <c r="AH261" i="4"/>
  <c r="AH259" i="4"/>
  <c r="AH182" i="4"/>
  <c r="AH173" i="4"/>
  <c r="AH166" i="4"/>
  <c r="AH163" i="4"/>
  <c r="AH84" i="4"/>
  <c r="AH22" i="4"/>
  <c r="AH269" i="4"/>
  <c r="AH179" i="4"/>
  <c r="AH13" i="4"/>
  <c r="AH256" i="4"/>
  <c r="AH195" i="4"/>
  <c r="AH174" i="4"/>
  <c r="AH85" i="4"/>
  <c r="AH260" i="4"/>
  <c r="AH201" i="4"/>
  <c r="H10" i="6"/>
  <c r="G10" i="6"/>
  <c r="H11" i="6"/>
  <c r="H8" i="6"/>
  <c r="H9" i="6"/>
  <c r="G9" i="6"/>
  <c r="G8" i="6"/>
  <c r="H32" i="6"/>
  <c r="G32" i="6"/>
  <c r="H44" i="6"/>
  <c r="G44" i="6"/>
  <c r="H43" i="6"/>
  <c r="G43" i="6"/>
  <c r="H42" i="6"/>
  <c r="G42" i="6"/>
  <c r="H31" i="6"/>
  <c r="G31" i="6"/>
  <c r="H30" i="6"/>
  <c r="G30" i="6"/>
  <c r="H29" i="6"/>
  <c r="G29" i="6"/>
  <c r="H27" i="6"/>
  <c r="G27" i="6"/>
  <c r="H22" i="6"/>
  <c r="G22" i="6"/>
  <c r="H21" i="6"/>
  <c r="G21" i="6"/>
  <c r="H20" i="6"/>
  <c r="G20" i="6"/>
  <c r="H26" i="6"/>
  <c r="G26" i="6"/>
  <c r="H16" i="6"/>
  <c r="G16" i="6"/>
  <c r="H41" i="6"/>
  <c r="G41" i="6"/>
  <c r="H40" i="6"/>
  <c r="G40" i="6"/>
  <c r="H39" i="6"/>
  <c r="G39" i="6"/>
  <c r="H38" i="6"/>
  <c r="G38" i="6"/>
  <c r="H25" i="6"/>
  <c r="G25" i="6"/>
  <c r="H24" i="6"/>
  <c r="G24" i="6"/>
  <c r="H23" i="6"/>
  <c r="G23" i="6"/>
  <c r="H7" i="6"/>
  <c r="G7" i="6"/>
  <c r="H6" i="6"/>
  <c r="G6" i="6"/>
  <c r="AH274" i="4" l="1"/>
  <c r="AK274" i="4"/>
  <c r="AJ274" i="4"/>
  <c r="AI274" i="4"/>
  <c r="H4" i="6"/>
  <c r="G4" i="6"/>
  <c r="H5" i="6"/>
  <c r="G5" i="6"/>
  <c r="I20" i="4" l="1"/>
  <c r="H20" i="4"/>
  <c r="G20" i="4"/>
  <c r="F20" i="4"/>
  <c r="I19" i="4"/>
  <c r="H19" i="4"/>
  <c r="G19" i="4"/>
  <c r="F19" i="4"/>
  <c r="I18" i="4"/>
  <c r="H18" i="4"/>
  <c r="G18" i="4"/>
  <c r="F18" i="4"/>
  <c r="H17" i="4"/>
  <c r="G17" i="4"/>
  <c r="F17" i="4"/>
  <c r="I17" i="4"/>
  <c r="I15" i="4"/>
  <c r="H15" i="4"/>
  <c r="G15" i="4"/>
  <c r="F15" i="4"/>
  <c r="I16" i="4"/>
  <c r="H16" i="4"/>
  <c r="G16" i="4"/>
  <c r="F16" i="4"/>
  <c r="I14" i="4"/>
  <c r="H14" i="4"/>
  <c r="G14" i="4"/>
  <c r="F14" i="4"/>
  <c r="I13" i="4"/>
  <c r="H13" i="4"/>
  <c r="G13" i="4"/>
  <c r="F13" i="4"/>
  <c r="I257" i="4"/>
  <c r="H257" i="4"/>
  <c r="G257" i="4"/>
  <c r="F257" i="4"/>
  <c r="G28" i="7"/>
  <c r="F28" i="7"/>
  <c r="G9" i="7"/>
  <c r="F9" i="7"/>
  <c r="G8" i="7"/>
  <c r="F8" i="7"/>
  <c r="G10" i="7"/>
  <c r="F10" i="7"/>
  <c r="G25" i="7"/>
  <c r="G24" i="7"/>
  <c r="F25" i="7"/>
  <c r="F24" i="7"/>
  <c r="G19" i="7"/>
  <c r="F19" i="7"/>
  <c r="G21" i="7"/>
  <c r="F21" i="7"/>
  <c r="G17" i="7"/>
  <c r="F17" i="7"/>
  <c r="G20" i="7"/>
  <c r="F20" i="7"/>
  <c r="G18" i="7"/>
  <c r="F18" i="7"/>
  <c r="G11" i="7"/>
  <c r="F11" i="7"/>
  <c r="G16" i="7"/>
  <c r="F16" i="7"/>
  <c r="G12" i="7" l="1"/>
  <c r="F12" i="7"/>
  <c r="G13" i="7"/>
  <c r="F13" i="7"/>
  <c r="G22" i="7"/>
  <c r="F23" i="7"/>
  <c r="G23" i="7"/>
  <c r="G29" i="7"/>
  <c r="F29" i="7"/>
  <c r="G27" i="7"/>
  <c r="F27" i="7"/>
  <c r="J11" i="5" l="1"/>
  <c r="I11" i="5"/>
  <c r="H11" i="5"/>
  <c r="G11" i="5"/>
  <c r="J10" i="5"/>
  <c r="I10" i="5"/>
  <c r="H10" i="5"/>
  <c r="G10" i="5"/>
  <c r="J9" i="5"/>
  <c r="I9" i="5"/>
  <c r="H9" i="5"/>
  <c r="G9" i="5"/>
  <c r="J8" i="5"/>
  <c r="I8" i="5"/>
  <c r="H8" i="5"/>
  <c r="G8" i="5"/>
  <c r="J7" i="5"/>
  <c r="I7" i="5"/>
  <c r="H7" i="5"/>
  <c r="G7" i="5"/>
  <c r="J6" i="5"/>
  <c r="I6" i="5"/>
  <c r="H6" i="5"/>
  <c r="G6" i="5"/>
  <c r="J13" i="5"/>
  <c r="I13" i="5"/>
  <c r="H13" i="5"/>
  <c r="G13" i="5"/>
  <c r="I271" i="4"/>
  <c r="H271" i="4"/>
  <c r="G271" i="4"/>
  <c r="F271" i="4"/>
  <c r="I270" i="4"/>
  <c r="H270" i="4"/>
  <c r="G270" i="4"/>
  <c r="F270" i="4"/>
  <c r="I269" i="4"/>
  <c r="H269" i="4"/>
  <c r="G269" i="4"/>
  <c r="F269" i="4"/>
  <c r="I268" i="4"/>
  <c r="H268" i="4"/>
  <c r="G268" i="4"/>
  <c r="F268" i="4"/>
  <c r="I267" i="4"/>
  <c r="H267" i="4"/>
  <c r="G267" i="4"/>
  <c r="F267" i="4"/>
  <c r="I266" i="4"/>
  <c r="H266" i="4"/>
  <c r="G266" i="4"/>
  <c r="F266" i="4"/>
  <c r="I265" i="4"/>
  <c r="H265" i="4"/>
  <c r="F265" i="4"/>
  <c r="G265" i="4"/>
  <c r="I264" i="4"/>
  <c r="H264" i="4"/>
  <c r="G264" i="4"/>
  <c r="F264" i="4"/>
  <c r="H263" i="4"/>
  <c r="I263" i="4"/>
  <c r="G263" i="4"/>
  <c r="F263" i="4"/>
  <c r="H12" i="5" l="1"/>
  <c r="J12" i="5"/>
  <c r="I12" i="5"/>
  <c r="G12" i="5"/>
  <c r="I261" i="4"/>
  <c r="H261" i="4"/>
  <c r="G261" i="4"/>
  <c r="F261" i="4"/>
  <c r="I260" i="4"/>
  <c r="H260" i="4"/>
  <c r="G260" i="4"/>
  <c r="F260" i="4"/>
  <c r="I259" i="4"/>
  <c r="H259" i="4"/>
  <c r="G259" i="4"/>
  <c r="F259" i="4"/>
  <c r="I258" i="4"/>
  <c r="H258" i="4"/>
  <c r="G258" i="4"/>
  <c r="F258" i="4"/>
  <c r="H255" i="4"/>
  <c r="I256" i="4"/>
  <c r="H256" i="4"/>
  <c r="G256" i="4"/>
  <c r="F256" i="4"/>
  <c r="I255" i="4"/>
  <c r="G255" i="4"/>
  <c r="F255" i="4"/>
  <c r="I246" i="4" l="1"/>
  <c r="H246" i="4"/>
  <c r="G246" i="4"/>
  <c r="F246" i="4"/>
  <c r="I242" i="4"/>
  <c r="H242" i="4"/>
  <c r="G242" i="4"/>
  <c r="F242" i="4"/>
  <c r="I244" i="4"/>
  <c r="H244" i="4"/>
  <c r="G244" i="4"/>
  <c r="F244" i="4"/>
  <c r="I243" i="4"/>
  <c r="H243" i="4"/>
  <c r="G243" i="4"/>
  <c r="F243" i="4"/>
  <c r="I241" i="4"/>
  <c r="H241" i="4"/>
  <c r="G241" i="4"/>
  <c r="F241" i="4"/>
  <c r="I236" i="4"/>
  <c r="H236" i="4"/>
  <c r="G236" i="4"/>
  <c r="F236" i="4"/>
  <c r="I235" i="4"/>
  <c r="H235" i="4"/>
  <c r="G235" i="4"/>
  <c r="F235" i="4"/>
  <c r="I234" i="4"/>
  <c r="H234" i="4"/>
  <c r="G234" i="4"/>
  <c r="F234" i="4"/>
  <c r="I233" i="4"/>
  <c r="H233" i="4"/>
  <c r="G233" i="4"/>
  <c r="F233" i="4"/>
  <c r="I232" i="4"/>
  <c r="H232" i="4"/>
  <c r="G232" i="4"/>
  <c r="F232" i="4"/>
  <c r="I231" i="4"/>
  <c r="H231" i="4"/>
  <c r="G231" i="4"/>
  <c r="F231" i="4"/>
  <c r="I230" i="4"/>
  <c r="H230" i="4"/>
  <c r="G230" i="4"/>
  <c r="F230" i="4"/>
  <c r="I229" i="4"/>
  <c r="H229" i="4"/>
  <c r="G229" i="4"/>
  <c r="F229" i="4"/>
  <c r="F228" i="4"/>
  <c r="I228" i="4"/>
  <c r="H228" i="4"/>
  <c r="G228" i="4"/>
  <c r="I227" i="4"/>
  <c r="H227" i="4"/>
  <c r="G227" i="4"/>
  <c r="F227" i="4"/>
  <c r="I226" i="4"/>
  <c r="H226" i="4"/>
  <c r="G226" i="4"/>
  <c r="F226" i="4"/>
  <c r="I222" i="4"/>
  <c r="H222" i="4"/>
  <c r="G222" i="4"/>
  <c r="F222" i="4"/>
  <c r="I221" i="4"/>
  <c r="H221" i="4"/>
  <c r="G221" i="4"/>
  <c r="F221" i="4"/>
  <c r="I220" i="4"/>
  <c r="H220" i="4"/>
  <c r="G220" i="4"/>
  <c r="F220" i="4"/>
  <c r="I219" i="4"/>
  <c r="H219" i="4"/>
  <c r="G219" i="4"/>
  <c r="F219" i="4"/>
  <c r="I218" i="4"/>
  <c r="H218" i="4"/>
  <c r="G218" i="4"/>
  <c r="F218" i="4"/>
  <c r="I217" i="4"/>
  <c r="H217" i="4"/>
  <c r="G217" i="4"/>
  <c r="F217" i="4"/>
  <c r="I216" i="4"/>
  <c r="H216" i="4"/>
  <c r="G216" i="4"/>
  <c r="F216" i="4"/>
  <c r="I215" i="4"/>
  <c r="I213" i="4"/>
  <c r="H215" i="4"/>
  <c r="G215" i="4"/>
  <c r="F215" i="4"/>
  <c r="H214" i="4"/>
  <c r="G214" i="4"/>
  <c r="F214" i="4"/>
  <c r="I214" i="4"/>
  <c r="H213" i="4"/>
  <c r="G213" i="4"/>
  <c r="F213" i="4"/>
  <c r="I212" i="4"/>
  <c r="H212" i="4"/>
  <c r="G212" i="4"/>
  <c r="F212" i="4"/>
  <c r="I211" i="4"/>
  <c r="H211" i="4"/>
  <c r="G211" i="4"/>
  <c r="F211" i="4"/>
  <c r="I210" i="4"/>
  <c r="H210" i="4"/>
  <c r="G210" i="4"/>
  <c r="F210" i="4"/>
  <c r="I208" i="4"/>
  <c r="H208" i="4"/>
  <c r="G208" i="4"/>
  <c r="F208" i="4"/>
  <c r="I207" i="4"/>
  <c r="H207" i="4"/>
  <c r="G207" i="4"/>
  <c r="F207" i="4"/>
  <c r="I206" i="4"/>
  <c r="H206" i="4"/>
  <c r="G206" i="4"/>
  <c r="F206" i="4"/>
  <c r="I204" i="4"/>
  <c r="H204" i="4"/>
  <c r="G204" i="4"/>
  <c r="F204" i="4"/>
  <c r="I203" i="4"/>
  <c r="H203" i="4"/>
  <c r="G203" i="4"/>
  <c r="F203" i="4"/>
  <c r="I202" i="4"/>
  <c r="H202" i="4"/>
  <c r="G202" i="4"/>
  <c r="F202" i="4"/>
  <c r="I201" i="4"/>
  <c r="H201" i="4"/>
  <c r="G201" i="4"/>
  <c r="F201" i="4"/>
  <c r="I200" i="4"/>
  <c r="H200" i="4"/>
  <c r="F200" i="4"/>
  <c r="I199" i="4"/>
  <c r="H199" i="4"/>
  <c r="G199" i="4"/>
  <c r="I198" i="4"/>
  <c r="G200" i="4"/>
  <c r="F199" i="4"/>
  <c r="H198" i="4"/>
  <c r="G198" i="4"/>
  <c r="F198" i="4"/>
  <c r="I195" i="4"/>
  <c r="H195" i="4"/>
  <c r="G195" i="4"/>
  <c r="F195" i="4"/>
  <c r="F251" i="4" l="1"/>
  <c r="G251" i="4"/>
  <c r="H251" i="4"/>
  <c r="I251" i="4"/>
  <c r="F252" i="4"/>
  <c r="G252" i="4"/>
  <c r="H252" i="4"/>
  <c r="I252" i="4"/>
  <c r="F253" i="4"/>
  <c r="G253" i="4"/>
  <c r="H253" i="4"/>
  <c r="I253" i="4"/>
  <c r="F254" i="4"/>
  <c r="G254" i="4"/>
  <c r="H254" i="4"/>
  <c r="I254" i="4"/>
  <c r="I52" i="4" l="1"/>
  <c r="H52" i="4"/>
  <c r="G52" i="4"/>
  <c r="F52" i="4"/>
  <c r="I50" i="4"/>
  <c r="H50" i="4"/>
  <c r="G50" i="4"/>
  <c r="F50" i="4"/>
  <c r="I47" i="4" l="1"/>
  <c r="H47" i="4"/>
  <c r="G47" i="4"/>
  <c r="F47" i="4"/>
  <c r="I46" i="4"/>
  <c r="H46" i="4"/>
  <c r="G46" i="4"/>
  <c r="F46" i="4"/>
  <c r="I45" i="4"/>
  <c r="H45" i="4"/>
  <c r="G45" i="4"/>
  <c r="F45" i="4"/>
  <c r="I44" i="4"/>
  <c r="H44" i="4"/>
  <c r="G44" i="4"/>
  <c r="F44" i="4"/>
  <c r="I48" i="4"/>
  <c r="H48" i="4"/>
  <c r="G48" i="4"/>
  <c r="F48" i="4"/>
  <c r="I28" i="4"/>
  <c r="H28" i="4"/>
  <c r="G28" i="4"/>
  <c r="F28" i="4"/>
  <c r="I27" i="4"/>
  <c r="H27" i="4"/>
  <c r="G27" i="4"/>
  <c r="F27" i="4"/>
  <c r="I26" i="4"/>
  <c r="G26" i="4"/>
  <c r="F26" i="4"/>
  <c r="H26" i="4"/>
  <c r="I25" i="4"/>
  <c r="H25" i="4"/>
  <c r="G25" i="4"/>
  <c r="F25" i="4"/>
  <c r="I24" i="4"/>
  <c r="H24" i="4"/>
  <c r="G24" i="4"/>
  <c r="F24" i="4"/>
  <c r="G29" i="4"/>
  <c r="F29" i="4"/>
  <c r="I249" i="4" l="1"/>
  <c r="H249" i="4"/>
  <c r="G249" i="4"/>
  <c r="F249" i="4"/>
  <c r="I248" i="4"/>
  <c r="H248" i="4"/>
  <c r="G248" i="4"/>
  <c r="F248" i="4"/>
  <c r="I247" i="4"/>
  <c r="H247" i="4"/>
  <c r="G247" i="4"/>
  <c r="F247" i="4"/>
  <c r="I245" i="4"/>
  <c r="H245" i="4"/>
  <c r="G245" i="4"/>
  <c r="F245" i="4"/>
  <c r="G209" i="4"/>
  <c r="F209" i="4"/>
  <c r="I209" i="4"/>
  <c r="H209" i="4"/>
  <c r="I240" i="4"/>
  <c r="H240" i="4"/>
  <c r="G240" i="4"/>
  <c r="F240" i="4"/>
  <c r="I239" i="4"/>
  <c r="H239" i="4"/>
  <c r="G239" i="4"/>
  <c r="F239" i="4"/>
  <c r="I238" i="4"/>
  <c r="H238" i="4"/>
  <c r="G238" i="4"/>
  <c r="F238" i="4"/>
  <c r="I237" i="4"/>
  <c r="H237" i="4"/>
  <c r="G237" i="4"/>
  <c r="F237" i="4"/>
  <c r="I225" i="4"/>
  <c r="H225" i="4"/>
  <c r="G225" i="4"/>
  <c r="F225" i="4"/>
  <c r="I224" i="4"/>
  <c r="H224" i="4"/>
  <c r="G224" i="4"/>
  <c r="F224" i="4"/>
  <c r="I223" i="4"/>
  <c r="H223" i="4"/>
  <c r="G223" i="4"/>
  <c r="F223" i="4"/>
  <c r="I205" i="4"/>
  <c r="H205" i="4"/>
  <c r="G205" i="4"/>
  <c r="F205" i="4"/>
  <c r="I197" i="4"/>
  <c r="H197" i="4"/>
  <c r="G197" i="4"/>
  <c r="F197" i="4"/>
  <c r="I196" i="4" l="1"/>
  <c r="H196" i="4"/>
  <c r="G196" i="4"/>
  <c r="F196" i="4"/>
  <c r="I194" i="4" l="1"/>
  <c r="H194" i="4"/>
  <c r="G194" i="4"/>
  <c r="F194" i="4"/>
  <c r="G193" i="4"/>
  <c r="F193" i="4"/>
  <c r="I193" i="4"/>
  <c r="H193" i="4"/>
  <c r="I192" i="4"/>
  <c r="H192" i="4"/>
  <c r="G192" i="4"/>
  <c r="F192" i="4"/>
  <c r="I174" i="4"/>
  <c r="H174" i="4"/>
  <c r="G174" i="4"/>
  <c r="F174" i="4"/>
  <c r="I173" i="4"/>
  <c r="H173" i="4"/>
  <c r="G173" i="4"/>
  <c r="F173" i="4"/>
  <c r="I172" i="4"/>
  <c r="H172" i="4"/>
  <c r="G172" i="4"/>
  <c r="F17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F8" i="4"/>
  <c r="I7" i="4"/>
  <c r="H7" i="4"/>
  <c r="G7" i="4"/>
  <c r="F7" i="4"/>
  <c r="I6" i="4"/>
  <c r="H6" i="4"/>
  <c r="G6" i="4"/>
  <c r="F6" i="4"/>
  <c r="F22" i="4"/>
  <c r="G22" i="4"/>
  <c r="H22" i="4"/>
  <c r="I22" i="4"/>
  <c r="F23" i="4"/>
  <c r="G23" i="4"/>
  <c r="H23" i="4"/>
  <c r="I23" i="4"/>
  <c r="H29" i="4"/>
  <c r="I29" i="4"/>
  <c r="F31" i="4"/>
  <c r="G31" i="4"/>
  <c r="H31" i="4"/>
  <c r="I31" i="4"/>
  <c r="F32" i="4"/>
  <c r="G32" i="4"/>
  <c r="H32" i="4"/>
  <c r="I32" i="4"/>
  <c r="F33" i="4"/>
  <c r="G33" i="4"/>
  <c r="H33" i="4"/>
  <c r="I33" i="4"/>
  <c r="F34" i="4"/>
  <c r="G34" i="4"/>
  <c r="H34" i="4"/>
  <c r="I34" i="4"/>
  <c r="F35" i="4"/>
  <c r="G35" i="4"/>
  <c r="H35" i="4"/>
  <c r="I35" i="4"/>
  <c r="F37" i="4"/>
  <c r="G37" i="4"/>
  <c r="H37" i="4"/>
  <c r="I37" i="4"/>
  <c r="F38" i="4"/>
  <c r="G38" i="4"/>
  <c r="H38" i="4"/>
  <c r="I38" i="4"/>
  <c r="F39" i="4"/>
  <c r="G39" i="4"/>
  <c r="H39" i="4"/>
  <c r="I39" i="4"/>
  <c r="F40" i="4"/>
  <c r="G40" i="4"/>
  <c r="H40" i="4"/>
  <c r="I40" i="4"/>
  <c r="F41" i="4"/>
  <c r="G41" i="4"/>
  <c r="H41" i="4"/>
  <c r="I41" i="4"/>
  <c r="F42" i="4"/>
  <c r="G42" i="4"/>
  <c r="H42" i="4"/>
  <c r="I42" i="4"/>
  <c r="F43" i="4"/>
  <c r="G43" i="4"/>
  <c r="H43" i="4"/>
  <c r="I43" i="4"/>
  <c r="F53" i="4"/>
  <c r="G53" i="4"/>
  <c r="H53" i="4"/>
  <c r="I53" i="4"/>
  <c r="F54" i="4"/>
  <c r="G54" i="4"/>
  <c r="H54" i="4"/>
  <c r="I54" i="4"/>
  <c r="F55" i="4"/>
  <c r="G55" i="4"/>
  <c r="H55" i="4"/>
  <c r="I55" i="4"/>
  <c r="F49" i="4"/>
  <c r="G49" i="4"/>
  <c r="H49" i="4"/>
  <c r="I49" i="4"/>
  <c r="F56" i="4"/>
  <c r="G56" i="4"/>
  <c r="H56" i="4"/>
  <c r="I56" i="4"/>
  <c r="F57" i="4"/>
  <c r="G57" i="4"/>
  <c r="H57" i="4"/>
  <c r="I57" i="4"/>
  <c r="F58" i="4"/>
  <c r="G58" i="4"/>
  <c r="H58" i="4"/>
  <c r="I58" i="4"/>
  <c r="F59" i="4"/>
  <c r="G59" i="4"/>
  <c r="H59" i="4"/>
  <c r="I59" i="4"/>
  <c r="F60" i="4"/>
  <c r="G60" i="4"/>
  <c r="H60" i="4"/>
  <c r="I60" i="4"/>
  <c r="F62" i="4"/>
  <c r="G62" i="4"/>
  <c r="H62" i="4"/>
  <c r="I62" i="4"/>
  <c r="F63" i="4"/>
  <c r="G63" i="4"/>
  <c r="H63" i="4"/>
  <c r="I63" i="4"/>
  <c r="F64" i="4"/>
  <c r="G64" i="4"/>
  <c r="H64" i="4"/>
  <c r="I64" i="4"/>
  <c r="F65" i="4"/>
  <c r="G65" i="4"/>
  <c r="H65" i="4"/>
  <c r="I65" i="4"/>
  <c r="F66" i="4"/>
  <c r="G66" i="4"/>
  <c r="H66" i="4"/>
  <c r="I66" i="4"/>
  <c r="F67" i="4"/>
  <c r="G67" i="4"/>
  <c r="H67" i="4"/>
  <c r="I67" i="4"/>
  <c r="F68" i="4"/>
  <c r="G68" i="4"/>
  <c r="H68" i="4"/>
  <c r="I68" i="4"/>
  <c r="F69" i="4"/>
  <c r="G69" i="4"/>
  <c r="H69" i="4"/>
  <c r="I69" i="4"/>
  <c r="F70" i="4"/>
  <c r="G70" i="4"/>
  <c r="H70" i="4"/>
  <c r="I70" i="4"/>
  <c r="F71" i="4"/>
  <c r="G71" i="4"/>
  <c r="H71" i="4"/>
  <c r="I71" i="4"/>
  <c r="F72" i="4"/>
  <c r="G72" i="4"/>
  <c r="H72" i="4"/>
  <c r="I72" i="4"/>
  <c r="F73" i="4"/>
  <c r="G73" i="4"/>
  <c r="H73" i="4"/>
  <c r="I73" i="4"/>
  <c r="F74" i="4"/>
  <c r="G74" i="4"/>
  <c r="H74" i="4"/>
  <c r="I74" i="4"/>
  <c r="F75" i="4"/>
  <c r="G75" i="4"/>
  <c r="H75" i="4"/>
  <c r="I75" i="4"/>
  <c r="F77" i="4"/>
  <c r="G77" i="4"/>
  <c r="H77" i="4"/>
  <c r="I77" i="4"/>
  <c r="F78" i="4"/>
  <c r="G78" i="4"/>
  <c r="H78" i="4"/>
  <c r="I78" i="4"/>
  <c r="F79" i="4"/>
  <c r="G79" i="4"/>
  <c r="H79" i="4"/>
  <c r="I79" i="4"/>
  <c r="F80" i="4"/>
  <c r="G80" i="4"/>
  <c r="H80" i="4"/>
  <c r="I80" i="4"/>
  <c r="F81" i="4"/>
  <c r="G81" i="4"/>
  <c r="H81" i="4"/>
  <c r="I81" i="4"/>
  <c r="F82" i="4"/>
  <c r="G82" i="4"/>
  <c r="H82" i="4"/>
  <c r="I82" i="4"/>
  <c r="F83" i="4"/>
  <c r="G83" i="4"/>
  <c r="H83" i="4"/>
  <c r="I83" i="4"/>
  <c r="F84" i="4"/>
  <c r="G84" i="4"/>
  <c r="H84" i="4"/>
  <c r="I84" i="4"/>
  <c r="F85" i="4"/>
  <c r="G85" i="4"/>
  <c r="H85" i="4"/>
  <c r="I85" i="4"/>
  <c r="F87" i="4"/>
  <c r="G87" i="4"/>
  <c r="H87" i="4"/>
  <c r="I87" i="4"/>
  <c r="F88" i="4"/>
  <c r="G88" i="4"/>
  <c r="H88" i="4"/>
  <c r="I88" i="4"/>
  <c r="F89" i="4"/>
  <c r="G89" i="4"/>
  <c r="H89" i="4"/>
  <c r="I89" i="4"/>
  <c r="F90" i="4"/>
  <c r="G90" i="4"/>
  <c r="H90" i="4"/>
  <c r="I90" i="4"/>
  <c r="F91" i="4"/>
  <c r="G91" i="4"/>
  <c r="H91" i="4"/>
  <c r="I91" i="4"/>
  <c r="F92" i="4"/>
  <c r="G92" i="4"/>
  <c r="H92" i="4"/>
  <c r="I92" i="4"/>
  <c r="F93" i="4"/>
  <c r="G93" i="4"/>
  <c r="H93" i="4"/>
  <c r="I93" i="4"/>
  <c r="F94" i="4"/>
  <c r="G94" i="4"/>
  <c r="H94" i="4"/>
  <c r="I94" i="4"/>
  <c r="F95" i="4"/>
  <c r="G95" i="4"/>
  <c r="H95" i="4"/>
  <c r="I95" i="4"/>
  <c r="F96" i="4"/>
  <c r="G96" i="4"/>
  <c r="H96" i="4"/>
  <c r="I96" i="4"/>
  <c r="F97" i="4"/>
  <c r="G97" i="4"/>
  <c r="H97" i="4"/>
  <c r="I97" i="4"/>
  <c r="F98" i="4"/>
  <c r="G98" i="4"/>
  <c r="H98" i="4"/>
  <c r="I98" i="4"/>
  <c r="F117" i="4"/>
  <c r="G117" i="4"/>
  <c r="H117" i="4"/>
  <c r="I117" i="4"/>
  <c r="F118" i="4"/>
  <c r="G118" i="4"/>
  <c r="H118" i="4"/>
  <c r="I118" i="4"/>
  <c r="F119" i="4"/>
  <c r="G119" i="4"/>
  <c r="H119" i="4"/>
  <c r="I119" i="4"/>
  <c r="F120" i="4"/>
  <c r="G120" i="4"/>
  <c r="H120" i="4"/>
  <c r="I120" i="4"/>
  <c r="F121" i="4"/>
  <c r="G121" i="4"/>
  <c r="H121" i="4"/>
  <c r="I121" i="4"/>
  <c r="F122" i="4"/>
  <c r="G122" i="4"/>
  <c r="H122" i="4"/>
  <c r="I122" i="4"/>
  <c r="F123" i="4"/>
  <c r="G123" i="4"/>
  <c r="H123" i="4"/>
  <c r="I123" i="4"/>
  <c r="F124" i="4"/>
  <c r="G124" i="4"/>
  <c r="H124" i="4"/>
  <c r="I124" i="4"/>
  <c r="F125" i="4"/>
  <c r="G125" i="4"/>
  <c r="H125" i="4"/>
  <c r="I125" i="4"/>
  <c r="F126" i="4"/>
  <c r="G126" i="4"/>
  <c r="H126" i="4"/>
  <c r="I126" i="4"/>
  <c r="F127" i="4"/>
  <c r="G127" i="4"/>
  <c r="H127" i="4"/>
  <c r="I127" i="4"/>
  <c r="F128" i="4"/>
  <c r="G128" i="4"/>
  <c r="H128" i="4"/>
  <c r="I128" i="4"/>
  <c r="F129" i="4"/>
  <c r="G129" i="4"/>
  <c r="H129" i="4"/>
  <c r="I129" i="4"/>
  <c r="F130" i="4"/>
  <c r="G130" i="4"/>
  <c r="H130" i="4"/>
  <c r="I130" i="4"/>
  <c r="F131" i="4"/>
  <c r="G131" i="4"/>
  <c r="H131" i="4"/>
  <c r="I131" i="4"/>
  <c r="F132" i="4"/>
  <c r="G132" i="4"/>
  <c r="H132" i="4"/>
  <c r="I132" i="4"/>
  <c r="F133" i="4"/>
  <c r="G133" i="4"/>
  <c r="H133" i="4"/>
  <c r="I133" i="4"/>
  <c r="F134" i="4"/>
  <c r="G134" i="4"/>
  <c r="H134" i="4"/>
  <c r="I134" i="4"/>
  <c r="F135" i="4"/>
  <c r="G135" i="4"/>
  <c r="H135" i="4"/>
  <c r="I135" i="4"/>
  <c r="F137" i="4"/>
  <c r="G137" i="4"/>
  <c r="H137" i="4"/>
  <c r="I137" i="4"/>
  <c r="F138" i="4"/>
  <c r="G138" i="4"/>
  <c r="H138" i="4"/>
  <c r="I138" i="4"/>
  <c r="F139" i="4"/>
  <c r="G139" i="4"/>
  <c r="H139" i="4"/>
  <c r="I139" i="4"/>
  <c r="F140" i="4"/>
  <c r="G140" i="4"/>
  <c r="H140" i="4"/>
  <c r="I140" i="4"/>
  <c r="F141" i="4"/>
  <c r="G141" i="4"/>
  <c r="H141" i="4"/>
  <c r="I141" i="4"/>
  <c r="F142" i="4"/>
  <c r="G142" i="4"/>
  <c r="H142" i="4"/>
  <c r="I142" i="4"/>
  <c r="F143" i="4"/>
  <c r="G143" i="4"/>
  <c r="H143" i="4"/>
  <c r="I143" i="4"/>
  <c r="F144" i="4"/>
  <c r="G144" i="4"/>
  <c r="H144" i="4"/>
  <c r="I144" i="4"/>
  <c r="F145" i="4"/>
  <c r="G145" i="4"/>
  <c r="H145" i="4"/>
  <c r="I145" i="4"/>
  <c r="F146" i="4"/>
  <c r="G146" i="4"/>
  <c r="H146" i="4"/>
  <c r="I146" i="4"/>
  <c r="F147" i="4"/>
  <c r="G147" i="4"/>
  <c r="H147" i="4"/>
  <c r="I147" i="4"/>
  <c r="F148" i="4"/>
  <c r="G148" i="4"/>
  <c r="H148" i="4"/>
  <c r="I148" i="4"/>
  <c r="F149" i="4"/>
  <c r="G149" i="4"/>
  <c r="H149" i="4"/>
  <c r="I149" i="4"/>
  <c r="F151" i="4"/>
  <c r="G151" i="4"/>
  <c r="H151" i="4"/>
  <c r="I151" i="4"/>
  <c r="F152" i="4"/>
  <c r="G152" i="4"/>
  <c r="H152" i="4"/>
  <c r="I152" i="4"/>
  <c r="F153" i="4"/>
  <c r="G153" i="4"/>
  <c r="H153" i="4"/>
  <c r="I153" i="4"/>
  <c r="F154" i="4"/>
  <c r="G154" i="4"/>
  <c r="H154" i="4"/>
  <c r="I154" i="4"/>
  <c r="F155" i="4"/>
  <c r="G155" i="4"/>
  <c r="H155" i="4"/>
  <c r="I155" i="4"/>
  <c r="F156" i="4"/>
  <c r="G156" i="4"/>
  <c r="H156" i="4"/>
  <c r="I156" i="4"/>
  <c r="F157" i="4"/>
  <c r="G157" i="4"/>
  <c r="H157" i="4"/>
  <c r="I157" i="4"/>
  <c r="F158" i="4"/>
  <c r="G158" i="4"/>
  <c r="H158" i="4"/>
  <c r="I158" i="4"/>
  <c r="F159" i="4"/>
  <c r="G159" i="4"/>
  <c r="H159" i="4"/>
  <c r="I159" i="4"/>
  <c r="F160" i="4"/>
  <c r="G160" i="4"/>
  <c r="H160" i="4"/>
  <c r="I160" i="4"/>
  <c r="F161" i="4"/>
  <c r="G161" i="4"/>
  <c r="H161" i="4"/>
  <c r="I161" i="4"/>
  <c r="F162" i="4"/>
  <c r="G162" i="4"/>
  <c r="H162" i="4"/>
  <c r="I162" i="4"/>
  <c r="F163" i="4"/>
  <c r="G163" i="4"/>
  <c r="H163" i="4"/>
  <c r="I163" i="4"/>
  <c r="F164" i="4"/>
  <c r="G164" i="4"/>
  <c r="H164" i="4"/>
  <c r="I164" i="4"/>
  <c r="F165" i="4"/>
  <c r="G165" i="4"/>
  <c r="H165" i="4"/>
  <c r="I165" i="4"/>
  <c r="F166" i="4"/>
  <c r="G166" i="4"/>
  <c r="H166" i="4"/>
  <c r="I166" i="4"/>
  <c r="F167" i="4"/>
  <c r="G167" i="4"/>
  <c r="H167" i="4"/>
  <c r="I167" i="4"/>
  <c r="F168" i="4"/>
  <c r="G168" i="4"/>
  <c r="H168" i="4"/>
  <c r="I168" i="4"/>
  <c r="F169" i="4"/>
  <c r="G169" i="4"/>
  <c r="H169" i="4"/>
  <c r="I169" i="4"/>
  <c r="I190" i="4"/>
  <c r="H190" i="4"/>
  <c r="G190" i="4"/>
  <c r="F190" i="4"/>
  <c r="I189" i="4"/>
  <c r="H189" i="4"/>
  <c r="G189" i="4"/>
  <c r="F189" i="4"/>
  <c r="I188" i="4"/>
  <c r="H188" i="4"/>
  <c r="G188" i="4"/>
  <c r="F188" i="4"/>
  <c r="F187" i="4"/>
  <c r="H187" i="4"/>
  <c r="I187" i="4"/>
  <c r="G187" i="4"/>
  <c r="I186" i="4"/>
  <c r="H186" i="4"/>
  <c r="G186" i="4"/>
  <c r="F186" i="4"/>
  <c r="I185" i="4"/>
  <c r="H185" i="4"/>
  <c r="G185" i="4"/>
  <c r="F185" i="4"/>
  <c r="I184" i="4"/>
  <c r="H184" i="4"/>
  <c r="G184" i="4"/>
  <c r="F184" i="4"/>
  <c r="I183" i="4"/>
  <c r="H183" i="4"/>
  <c r="G183" i="4"/>
  <c r="F183" i="4"/>
  <c r="I182" i="4"/>
  <c r="H182" i="4"/>
  <c r="G182" i="4"/>
  <c r="F182" i="4"/>
  <c r="I181" i="4"/>
  <c r="H181" i="4"/>
  <c r="G181" i="4"/>
  <c r="F181" i="4"/>
  <c r="I180" i="4"/>
  <c r="H180" i="4"/>
  <c r="G180" i="4"/>
  <c r="F180" i="4"/>
  <c r="I176" i="4"/>
  <c r="H176" i="4"/>
  <c r="G176" i="4"/>
  <c r="F176" i="4"/>
  <c r="I177" i="4"/>
  <c r="H177" i="4"/>
  <c r="G177" i="4"/>
  <c r="F177" i="4"/>
  <c r="I179" i="4"/>
  <c r="H179" i="4"/>
  <c r="G179" i="4"/>
  <c r="F179" i="4"/>
  <c r="I178" i="4"/>
  <c r="H178" i="4"/>
  <c r="G178" i="4"/>
  <c r="F178" i="4"/>
  <c r="I110" i="4" l="1"/>
  <c r="H110" i="4"/>
  <c r="G110" i="4"/>
  <c r="F110" i="4"/>
  <c r="H19" i="6" l="1"/>
  <c r="G19" i="6"/>
  <c r="H12" i="6"/>
  <c r="G12" i="6"/>
  <c r="G11" i="6"/>
  <c r="H18" i="6"/>
  <c r="G18" i="6"/>
  <c r="H17" i="6"/>
  <c r="G17" i="6"/>
  <c r="G6" i="7"/>
  <c r="F6" i="7"/>
  <c r="H14" i="6"/>
  <c r="G14" i="6"/>
  <c r="F22" i="7"/>
  <c r="G7" i="7"/>
  <c r="F7" i="7"/>
  <c r="G26" i="7" l="1"/>
  <c r="F26" i="7"/>
  <c r="G175" i="4"/>
  <c r="F175" i="4"/>
  <c r="I175" i="4"/>
  <c r="H175" i="4"/>
  <c r="I171" i="4"/>
  <c r="H171" i="4"/>
  <c r="G171" i="4"/>
  <c r="F171" i="4"/>
  <c r="N114" i="4" l="1"/>
  <c r="I114" i="4"/>
  <c r="H114" i="4"/>
  <c r="G114" i="4"/>
  <c r="F114" i="4"/>
  <c r="G15" i="7" l="1"/>
  <c r="F15" i="7"/>
  <c r="G14" i="7"/>
  <c r="F14" i="7"/>
  <c r="K15" i="7"/>
  <c r="K14" i="7"/>
  <c r="I115" i="4"/>
  <c r="H115" i="4"/>
  <c r="G115" i="4"/>
  <c r="F115" i="4"/>
  <c r="N115" i="4" l="1"/>
  <c r="I113" i="4"/>
  <c r="H113" i="4"/>
  <c r="G113" i="4"/>
  <c r="F113" i="4"/>
  <c r="N113" i="4"/>
  <c r="I112" i="4"/>
  <c r="H112" i="4"/>
  <c r="G112" i="4"/>
  <c r="F112" i="4"/>
  <c r="N112" i="4"/>
  <c r="I111" i="4"/>
  <c r="H111" i="4"/>
  <c r="G111" i="4"/>
  <c r="F111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6" i="4"/>
  <c r="H106" i="4"/>
  <c r="G106" i="4"/>
  <c r="F106" i="4"/>
  <c r="I105" i="4"/>
  <c r="H105" i="4"/>
  <c r="G105" i="4"/>
  <c r="F105" i="4"/>
  <c r="I104" i="4"/>
  <c r="H104" i="4"/>
  <c r="G104" i="4"/>
  <c r="F104" i="4"/>
  <c r="I101" i="4"/>
  <c r="H101" i="4"/>
  <c r="G101" i="4"/>
  <c r="F101" i="4"/>
  <c r="I103" i="4"/>
  <c r="H103" i="4"/>
  <c r="G103" i="4"/>
  <c r="F103" i="4"/>
  <c r="I100" i="4" l="1"/>
  <c r="H100" i="4"/>
  <c r="G100" i="4"/>
  <c r="F100" i="4"/>
  <c r="B20" i="3" l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l="1"/>
  <c r="D59" i="3"/>
  <c r="B61" i="3" l="1"/>
  <c r="D60" i="3"/>
  <c r="B62" i="3" l="1"/>
  <c r="D61" i="3"/>
  <c r="B63" i="3" l="1"/>
  <c r="D62" i="3"/>
  <c r="B64" i="3" l="1"/>
  <c r="D63" i="3"/>
  <c r="B65" i="3" l="1"/>
  <c r="D64" i="3"/>
  <c r="B66" i="3" l="1"/>
  <c r="D65" i="3"/>
  <c r="B67" i="3" l="1"/>
  <c r="D66" i="3"/>
  <c r="B68" i="3" l="1"/>
  <c r="D67" i="3"/>
  <c r="B69" i="3" l="1"/>
  <c r="D68" i="3"/>
  <c r="B70" i="3" l="1"/>
  <c r="D69" i="3"/>
  <c r="B71" i="3" l="1"/>
  <c r="D70" i="3"/>
  <c r="B72" i="3" l="1"/>
  <c r="D71" i="3"/>
  <c r="B73" i="3" l="1"/>
  <c r="D72" i="3"/>
  <c r="B74" i="3" l="1"/>
  <c r="D73" i="3"/>
  <c r="B75" i="3" l="1"/>
  <c r="D74" i="3"/>
  <c r="B76" i="3" l="1"/>
  <c r="D75" i="3"/>
  <c r="B77" i="3" l="1"/>
  <c r="D76" i="3"/>
  <c r="B78" i="3" l="1"/>
  <c r="D77" i="3"/>
  <c r="B79" i="3" l="1"/>
  <c r="D79" i="3" s="1"/>
  <c r="D78" i="3"/>
</calcChain>
</file>

<file path=xl/sharedStrings.xml><?xml version="1.0" encoding="utf-8"?>
<sst xmlns="http://schemas.openxmlformats.org/spreadsheetml/2006/main" count="9181" uniqueCount="2705">
  <si>
    <t>Building Name / ID</t>
  </si>
  <si>
    <t>Sector</t>
  </si>
  <si>
    <t>Location</t>
  </si>
  <si>
    <t>Building Type</t>
  </si>
  <si>
    <t>Foundation Type</t>
  </si>
  <si>
    <t>Structure Type</t>
  </si>
  <si>
    <t>Wall Cladding</t>
  </si>
  <si>
    <t>Wall Cladding Type</t>
  </si>
  <si>
    <t>Roof Type</t>
  </si>
  <si>
    <t>Foundation</t>
  </si>
  <si>
    <t>Floor Covering</t>
  </si>
  <si>
    <t>Year of Construction</t>
  </si>
  <si>
    <t xml:space="preserve">Year of Recent Refurbishment </t>
  </si>
  <si>
    <t>Structure</t>
  </si>
  <si>
    <t>Roof</t>
  </si>
  <si>
    <t>Floor</t>
  </si>
  <si>
    <t>Fitouts</t>
  </si>
  <si>
    <t>Plumbing</t>
  </si>
  <si>
    <t>Air Conditioning</t>
  </si>
  <si>
    <t>Electrical</t>
  </si>
  <si>
    <t>S No</t>
  </si>
  <si>
    <t>Floor Area (Sq m)</t>
  </si>
  <si>
    <t>Single Story Timber Frame</t>
  </si>
  <si>
    <t>Two-Story Timber Frame with Closed-Under</t>
  </si>
  <si>
    <t>Two-Story Timber Frame with Open-Under</t>
  </si>
  <si>
    <t>Single Story Masonry/Concrete</t>
  </si>
  <si>
    <t>Two -Story Masonry/Concrete</t>
  </si>
  <si>
    <t xml:space="preserve">Single Story Combination Masonry/Concrete &amp; Timber Frame </t>
  </si>
  <si>
    <t xml:space="preserve">Two-Story Combination Masonry/Concrete &amp; Timber Frame </t>
  </si>
  <si>
    <t>Single Story Steel Frame</t>
  </si>
  <si>
    <t>Two-Story Steel Frame</t>
  </si>
  <si>
    <t>Open Walled Structure with Non-Wooden Pole Frame</t>
  </si>
  <si>
    <t>Open Walled Structure with Wooden Pole Frame (Fale)</t>
  </si>
  <si>
    <t xml:space="preserve">Single Story Portable Trailer </t>
  </si>
  <si>
    <t>Three Story</t>
  </si>
  <si>
    <t>Multi Story - 4 or more stories</t>
  </si>
  <si>
    <t>Building Types</t>
  </si>
  <si>
    <t>Before 1960</t>
  </si>
  <si>
    <t>Year of construction</t>
  </si>
  <si>
    <t>Foundation Types</t>
  </si>
  <si>
    <t xml:space="preserve">Concrete Pillars </t>
  </si>
  <si>
    <t xml:space="preserve">Steel Pillars </t>
  </si>
  <si>
    <t xml:space="preserve">Conc. SLAB </t>
  </si>
  <si>
    <t xml:space="preserve">LOAD BEARING Foundation WALL </t>
  </si>
  <si>
    <t>Other</t>
  </si>
  <si>
    <t>Structure Types</t>
  </si>
  <si>
    <t xml:space="preserve">Concrete or masonry </t>
  </si>
  <si>
    <t xml:space="preserve">Timber </t>
  </si>
  <si>
    <t xml:space="preserve">Concrete and Timber </t>
  </si>
  <si>
    <t xml:space="preserve">Steel </t>
  </si>
  <si>
    <t xml:space="preserve">Steel and Timber </t>
  </si>
  <si>
    <t xml:space="preserve">Canvas with Steel posts </t>
  </si>
  <si>
    <t xml:space="preserve">Posts Only </t>
  </si>
  <si>
    <t xml:space="preserve">Concrete or masonry walls </t>
  </si>
  <si>
    <t xml:space="preserve">Galvanized iron sheeting </t>
  </si>
  <si>
    <t xml:space="preserve">Painted Steel or Aluminium siding </t>
  </si>
  <si>
    <t xml:space="preserve">Vinyl Siding </t>
  </si>
  <si>
    <t xml:space="preserve">Timber siding  </t>
  </si>
  <si>
    <t xml:space="preserve">Concrete </t>
  </si>
  <si>
    <t>Exterior Wall Cladding</t>
  </si>
  <si>
    <t xml:space="preserve">Hardy plank / Fibrous Cement </t>
  </si>
  <si>
    <t xml:space="preserve">Carpet </t>
  </si>
  <si>
    <t xml:space="preserve">Ceramic or Porcelain Tiles </t>
  </si>
  <si>
    <t xml:space="preserve">Timber  </t>
  </si>
  <si>
    <t xml:space="preserve">Vinyl </t>
  </si>
  <si>
    <t xml:space="preserve">Engineered wood </t>
  </si>
  <si>
    <t>Floor Coverings</t>
  </si>
  <si>
    <t>Epoxi Coated Concrete</t>
  </si>
  <si>
    <t>None - bare concrete slab</t>
  </si>
  <si>
    <t xml:space="preserve">Asbestos </t>
  </si>
  <si>
    <t xml:space="preserve">Galvanized Iron Sheeting </t>
  </si>
  <si>
    <t xml:space="preserve">Superior metal painted sheet </t>
  </si>
  <si>
    <t xml:space="preserve">Tiles </t>
  </si>
  <si>
    <t xml:space="preserve">Asphalt shingles </t>
  </si>
  <si>
    <t>Which Components were Refurbished</t>
  </si>
  <si>
    <t>Name of Road</t>
  </si>
  <si>
    <t>Road Type</t>
  </si>
  <si>
    <t>Recent Year of Reseal</t>
  </si>
  <si>
    <t>Length of Road  ( m)</t>
  </si>
  <si>
    <t>Average Width (m)</t>
  </si>
  <si>
    <t>Number of Lanes</t>
  </si>
  <si>
    <t>Terrain Type</t>
  </si>
  <si>
    <t>Road Terrain</t>
  </si>
  <si>
    <t>Flat</t>
  </si>
  <si>
    <t>Rolling</t>
  </si>
  <si>
    <t>Steep</t>
  </si>
  <si>
    <t>chipseal</t>
  </si>
  <si>
    <t>asphalt</t>
  </si>
  <si>
    <t>asphalt concrete</t>
  </si>
  <si>
    <t>Curb and Gutter</t>
  </si>
  <si>
    <t>On both sides</t>
  </si>
  <si>
    <t>on one side</t>
  </si>
  <si>
    <t>None</t>
  </si>
  <si>
    <t>Foot paths</t>
  </si>
  <si>
    <t>On one side</t>
  </si>
  <si>
    <t>Primary collector</t>
  </si>
  <si>
    <t>Secondary</t>
  </si>
  <si>
    <t>Local</t>
  </si>
  <si>
    <t>Road Category</t>
  </si>
  <si>
    <t>Arterial</t>
  </si>
  <si>
    <t>Pavement Type</t>
  </si>
  <si>
    <t xml:space="preserve">Footpath </t>
  </si>
  <si>
    <t xml:space="preserve">Surface Pavement </t>
  </si>
  <si>
    <t>Base Pavement</t>
  </si>
  <si>
    <t>Surface Pavement</t>
  </si>
  <si>
    <t>Curb &amp; Gutter</t>
  </si>
  <si>
    <t>Drainage</t>
  </si>
  <si>
    <t>Footpath</t>
  </si>
  <si>
    <t>Current Condition of Components</t>
  </si>
  <si>
    <t>Construction Details</t>
  </si>
  <si>
    <t>Construction &amp; Rehab</t>
  </si>
  <si>
    <t>Identification</t>
  </si>
  <si>
    <t>Before 2000</t>
  </si>
  <si>
    <t>Ruwnay or Taxiway ID</t>
  </si>
  <si>
    <t>Airport name</t>
  </si>
  <si>
    <t>Runway or Taxiway?</t>
  </si>
  <si>
    <t>Length  ( m)</t>
  </si>
  <si>
    <t xml:space="preserve">Average Width </t>
  </si>
  <si>
    <t>Height of Security fence</t>
  </si>
  <si>
    <t>Security fence</t>
  </si>
  <si>
    <t>Road name</t>
  </si>
  <si>
    <t>Location (State)</t>
  </si>
  <si>
    <t xml:space="preserve">Recent Year of Rehab </t>
  </si>
  <si>
    <t xml:space="preserve"> Width (m) </t>
  </si>
  <si>
    <t>Substructure (Timber, Steel or reinforced concrete</t>
  </si>
  <si>
    <t>Super-structure (Timber, Steel or reinforced concrete</t>
  </si>
  <si>
    <t>Decking (Asphalt or concrete)</t>
  </si>
  <si>
    <t>Substructure</t>
  </si>
  <si>
    <t>Superstructure</t>
  </si>
  <si>
    <t>Decking</t>
  </si>
  <si>
    <t>Wharf or Jetty ID</t>
  </si>
  <si>
    <t>Wharf or Jetty</t>
  </si>
  <si>
    <t>Marine port  name</t>
  </si>
  <si>
    <t>Structure (Timber, Steel or reinforced concrete</t>
  </si>
  <si>
    <t>Decking (Timber, Asphalt or concrete)</t>
  </si>
  <si>
    <t>Functional performance rating</t>
  </si>
  <si>
    <t>Asset Component Condition</t>
  </si>
  <si>
    <t>Physical Condition Rating</t>
  </si>
  <si>
    <t>Interpretation</t>
  </si>
  <si>
    <t xml:space="preserve">Asset Component in brand new condition, with no wear, no damage, no deformation, no defects, no deterioration, no impairment    </t>
  </si>
  <si>
    <t>Excellent</t>
  </si>
  <si>
    <t xml:space="preserve">Asset Component in “like new” condition, with minor wear and no damage, no defects, no deformation, no deterioration and no impairment    </t>
  </si>
  <si>
    <t>Good</t>
  </si>
  <si>
    <t xml:space="preserve">Asset Component shows minor wear, minor deformation, minor damage, minor defects, minor deterioration, minor impairment, asset condition can be maintained through normal preventative maintenance </t>
  </si>
  <si>
    <t>Fair</t>
  </si>
  <si>
    <t xml:space="preserve">Asset Component with major deformation, degradation, deterioration, damage or defects and serious impairment in condition; however component condition can be restored through economically efficient rehabilitation/refurbishment of degraded/faulty components.   </t>
  </si>
  <si>
    <t>Poor</t>
  </si>
  <si>
    <t xml:space="preserve">Asset Component with major degradation, deterioration, damage or defects and serious impairment in condition, and it is not possible to restore the component condition through economically efficient  rehabilitation/refurbishment  </t>
  </si>
  <si>
    <t>Very Poor</t>
  </si>
  <si>
    <t xml:space="preserve">Asset Functional Performance </t>
  </si>
  <si>
    <t>Condition Score</t>
  </si>
  <si>
    <t xml:space="preserve">Asset's functional performance exceeds the upper limit of the desired service levels    </t>
  </si>
  <si>
    <t>Asset's functional performance meets the upper limit of the desired service levels</t>
  </si>
  <si>
    <t xml:space="preserve">Asset's functional performance meets the lower limit of the service level requirements. </t>
  </si>
  <si>
    <t xml:space="preserve">Asset's functional performance does not meet the lower limit of the service level requirements, however through rehabiltation/ refurbishment, it is possible to restore the performance to acceptable level   </t>
  </si>
  <si>
    <t xml:space="preserve">Asset's functional performance does not meet the lower limit of the service level requirements, and it is not possible to restore the performance to acceptable levels through rehabilitaiton/refurbishment  </t>
  </si>
  <si>
    <t>Functional Performance Rating</t>
  </si>
  <si>
    <t>Bridge Name or ID</t>
  </si>
  <si>
    <t>Timber</t>
  </si>
  <si>
    <t>Steel</t>
  </si>
  <si>
    <t>Steel reinforced concrete</t>
  </si>
  <si>
    <t>Super-structure</t>
  </si>
  <si>
    <t>Sub-structure</t>
  </si>
  <si>
    <t>Asphalt</t>
  </si>
  <si>
    <t>Concrete</t>
  </si>
  <si>
    <t>Culverts</t>
  </si>
  <si>
    <t>Bridges Components</t>
  </si>
  <si>
    <t>Sub and Super structure  Materials</t>
  </si>
  <si>
    <t>Decking Materials</t>
  </si>
  <si>
    <t>Steel pipe</t>
  </si>
  <si>
    <t>Steel reinforced concrete pipe</t>
  </si>
  <si>
    <t>Culvert Name or ID</t>
  </si>
  <si>
    <t xml:space="preserve"> Channel Crossection Area  (m2) </t>
  </si>
  <si>
    <t>Current Condition of Culvert</t>
  </si>
  <si>
    <t>Channel</t>
  </si>
  <si>
    <t xml:space="preserve">Decking </t>
  </si>
  <si>
    <t xml:space="preserve">Channel type </t>
  </si>
  <si>
    <t>Airports</t>
  </si>
  <si>
    <t>Runway</t>
  </si>
  <si>
    <t>Taxiway</t>
  </si>
  <si>
    <t>Seaports</t>
  </si>
  <si>
    <t>Wharf</t>
  </si>
  <si>
    <t>Jetty</t>
  </si>
  <si>
    <t>Seaport structure</t>
  </si>
  <si>
    <t>Seaport Decking</t>
  </si>
  <si>
    <t>Generator ID</t>
  </si>
  <si>
    <t>Fuel Type</t>
  </si>
  <si>
    <t>Generating Plant  name</t>
  </si>
  <si>
    <t>Generator Fuel Type</t>
  </si>
  <si>
    <t>Diesel</t>
  </si>
  <si>
    <t>Gasoline</t>
  </si>
  <si>
    <t>Natural Gas</t>
  </si>
  <si>
    <t>Name Plate Rating (kW)</t>
  </si>
  <si>
    <t>Name Plate Rating (Voltage)</t>
  </si>
  <si>
    <t>Rated Speed (RPM)</t>
  </si>
  <si>
    <t>Name of Manufacturer</t>
  </si>
  <si>
    <t>Prime mover</t>
  </si>
  <si>
    <t>Generator</t>
  </si>
  <si>
    <t>Generating Plant Name /ID</t>
  </si>
  <si>
    <t>Solar Array DC Rating (kW)</t>
  </si>
  <si>
    <t>Inverter AC Rating (kW)</t>
  </si>
  <si>
    <t>Output voltage</t>
  </si>
  <si>
    <t>Name of Manufacturer - Solar Panels</t>
  </si>
  <si>
    <t>Name of Manufacturer - Inverter</t>
  </si>
  <si>
    <t>Solar Array</t>
  </si>
  <si>
    <t>Inverter</t>
  </si>
  <si>
    <t>Feeder Number</t>
  </si>
  <si>
    <t>Line Voltage</t>
  </si>
  <si>
    <t>Length of 1-ph lines</t>
  </si>
  <si>
    <t>Poles and cross-arms</t>
  </si>
  <si>
    <t>Conductors and Insulators</t>
  </si>
  <si>
    <t xml:space="preserve">Components Rehabilitated </t>
  </si>
  <si>
    <t>Power Transformer Name /ID</t>
  </si>
  <si>
    <t>Name Plate Rating (kVA)</t>
  </si>
  <si>
    <t>Primary Voltage</t>
  </si>
  <si>
    <t>Secondary Voltage</t>
  </si>
  <si>
    <t>Tank and Bushings</t>
  </si>
  <si>
    <t>Core and Coil</t>
  </si>
  <si>
    <t>Switchgear  Name /ID</t>
  </si>
  <si>
    <t>Rated Voltage</t>
  </si>
  <si>
    <t>Number of Circuit Breakers</t>
  </si>
  <si>
    <t>Type of Circuit breakers</t>
  </si>
  <si>
    <t>Circuit breakers</t>
  </si>
  <si>
    <t>Protection Relays</t>
  </si>
  <si>
    <t>Water pipes</t>
  </si>
  <si>
    <t>Original capacity Cubic Meter</t>
  </si>
  <si>
    <t>Current Spare Capacity cubic m</t>
  </si>
  <si>
    <t xml:space="preserve">Landfill site </t>
  </si>
  <si>
    <t>Landfill site  Name /ID</t>
  </si>
  <si>
    <t>Sea wall ID</t>
  </si>
  <si>
    <t>Seawall Type</t>
  </si>
  <si>
    <t>Length</t>
  </si>
  <si>
    <t>height</t>
  </si>
  <si>
    <t>Seawall</t>
  </si>
  <si>
    <t>Seawall types</t>
  </si>
  <si>
    <t>Tower ID</t>
  </si>
  <si>
    <t>Tower Type</t>
  </si>
  <si>
    <t>PVC</t>
  </si>
  <si>
    <t>Water tanks</t>
  </si>
  <si>
    <t>Plastic</t>
  </si>
  <si>
    <t>Telecom Tower Types</t>
  </si>
  <si>
    <t>Guyed</t>
  </si>
  <si>
    <t>Self supported</t>
  </si>
  <si>
    <t>Tower Height  (m)</t>
  </si>
  <si>
    <t>Tubular or Lattice</t>
  </si>
  <si>
    <t>Wood or Steel</t>
  </si>
  <si>
    <t>Tower</t>
  </si>
  <si>
    <t>Telecom cable ID</t>
  </si>
  <si>
    <t>Installation Method</t>
  </si>
  <si>
    <t>Type of Cable</t>
  </si>
  <si>
    <t>Telecom Cables</t>
  </si>
  <si>
    <t>Underground</t>
  </si>
  <si>
    <t>Submarine</t>
  </si>
  <si>
    <t>Overhead - on poles</t>
  </si>
  <si>
    <t>Copper</t>
  </si>
  <si>
    <t>Fiberoptic</t>
  </si>
  <si>
    <t>Copper - Twiested pair</t>
  </si>
  <si>
    <t>Copper - Coaxial</t>
  </si>
  <si>
    <t>Number of pairs or  strands</t>
  </si>
  <si>
    <t>Cable Condition</t>
  </si>
  <si>
    <t>Indoor or Outdoor mounted Unit ID</t>
  </si>
  <si>
    <t>Function</t>
  </si>
  <si>
    <t>IDU or ODU</t>
  </si>
  <si>
    <t>IDU - Indoor mounted unit</t>
  </si>
  <si>
    <t>ODU - Outdoor mounted unit</t>
  </si>
  <si>
    <t>Telecom Equipment</t>
  </si>
  <si>
    <t>Steel reinforced concrete wall</t>
  </si>
  <si>
    <t>Grouted rock or masonry wall</t>
  </si>
  <si>
    <t>Rock revetment</t>
  </si>
  <si>
    <t>Ngeremlengui State Road Phase -I</t>
  </si>
  <si>
    <t>1.2m concrete swale</t>
  </si>
  <si>
    <t>0.9m concrete shoulder (RC)</t>
  </si>
  <si>
    <t>Hilly</t>
  </si>
  <si>
    <t>Ngermetengel, Ngeremlengui</t>
  </si>
  <si>
    <t>Ngeremlengui State Road Phase -II</t>
  </si>
  <si>
    <t>0.15m thick Portland concrete (RC)</t>
  </si>
  <si>
    <t>Ngeremlengui State Road Phase -III</t>
  </si>
  <si>
    <t>Collector</t>
  </si>
  <si>
    <t>N.A.</t>
  </si>
  <si>
    <t>Ngeremlengui State Road Phase -V</t>
  </si>
  <si>
    <t>Ngeremlengui State Road Phase -IV</t>
  </si>
  <si>
    <t>Imeyong, Ngeremlengui</t>
  </si>
  <si>
    <t>Ngeremlengui State Road Phase -VI</t>
  </si>
  <si>
    <t>5cm thick Asphalt concrete (AC)</t>
  </si>
  <si>
    <t>Nglebang Road</t>
  </si>
  <si>
    <t>Ngermetengel Back Road (North)</t>
  </si>
  <si>
    <t>Ngermetengel Back Road (South)</t>
  </si>
  <si>
    <t>Imeyong to Ngermeskang Road</t>
  </si>
  <si>
    <t>0.9m concrete swale</t>
  </si>
  <si>
    <t>Ngeremlengui Compact Connecting Road Phase -V</t>
  </si>
  <si>
    <t>Ngermeskang, Ngeremlengui</t>
  </si>
  <si>
    <t>1.0m concrete swale</t>
  </si>
  <si>
    <t>Ngeremlengui Compact Connecting Road Phase -IV</t>
  </si>
  <si>
    <t>Ngeremlengui Compact Connecting Road Phase -III</t>
  </si>
  <si>
    <t>Ngeremlengui Compact Connecting Road Phase -I</t>
  </si>
  <si>
    <t>Umad Bridge</t>
  </si>
  <si>
    <t>Asphalt concrete wearing course was replaced with reinfoced Portland concrete</t>
  </si>
  <si>
    <t>Reinforced Concrete</t>
  </si>
  <si>
    <t>Reinforced concrete</t>
  </si>
  <si>
    <t>concrete</t>
  </si>
  <si>
    <t>Imeyong Bridge</t>
  </si>
  <si>
    <t>Ngermetengel Dock</t>
  </si>
  <si>
    <t>Latitude</t>
  </si>
  <si>
    <t>Longitude</t>
  </si>
  <si>
    <t>Repair of riprap seawall of the causeway</t>
  </si>
  <si>
    <t>Ngermetengel Bridge</t>
  </si>
  <si>
    <t>Ngermetengel Dock Waiting House</t>
  </si>
  <si>
    <t>Single storey open type concrete framed building with tin roofing</t>
  </si>
  <si>
    <t>Isolated concrete footing</t>
  </si>
  <si>
    <t>Tin roof framed with wooden trusses</t>
  </si>
  <si>
    <t>0.9m high plastered 6" CHB</t>
  </si>
  <si>
    <t>N. A.</t>
  </si>
  <si>
    <t>Ngeremlengui Old Age Center</t>
  </si>
  <si>
    <t>Replacement of tin roofing and general painting</t>
  </si>
  <si>
    <t>Wooden</t>
  </si>
  <si>
    <t>Ngeremlengui Old Age Center Cafeteria</t>
  </si>
  <si>
    <t>Ngeremlengui State Government</t>
  </si>
  <si>
    <t>GPS</t>
  </si>
  <si>
    <t>Strip concrete footing</t>
  </si>
  <si>
    <t>Wooden planks</t>
  </si>
  <si>
    <t>Plywood framed with lumber</t>
  </si>
  <si>
    <t>Wooden planks framed with lumber</t>
  </si>
  <si>
    <t>Reinforced concrete with ceramic tiles</t>
  </si>
  <si>
    <t>Ministry of Education</t>
  </si>
  <si>
    <t>General painting works</t>
  </si>
  <si>
    <t>Single storey open type wooden framed building with tin roofing</t>
  </si>
  <si>
    <t>Single storey wooden framed building with tin roofing</t>
  </si>
  <si>
    <t>Single storey concrete framed building with half masonry half wooden wall and tin roofing</t>
  </si>
  <si>
    <t>Reinforced concrete with vinyl tiles</t>
  </si>
  <si>
    <t>Concrete masonry</t>
  </si>
  <si>
    <t xml:space="preserve">Half concrete masonry half wooden </t>
  </si>
  <si>
    <t>Single storey concrete framed building with masonry wall and tin roofing</t>
  </si>
  <si>
    <t>Ngeremlengui State Government Office</t>
  </si>
  <si>
    <t>Two-storey concrete framed building with masonry wall and concrete deck roofing</t>
  </si>
  <si>
    <t>Concrete roof deck</t>
  </si>
  <si>
    <t>Nglebang Crossdrain</t>
  </si>
  <si>
    <t>Ngeremlengui</t>
  </si>
  <si>
    <t>Ngermeskang Bridge</t>
  </si>
  <si>
    <t>Ngeremlengui Compact Connecting Road Phase -II</t>
  </si>
  <si>
    <t>1.2m Ø reinforced concrete pipe</t>
  </si>
  <si>
    <t>GPS (Start)</t>
  </si>
  <si>
    <t>GPS (End)</t>
  </si>
  <si>
    <t>Ministry of Health</t>
  </si>
  <si>
    <t>Ministry of Public Infrastructure, Industry &amp; Commerce</t>
  </si>
  <si>
    <t>Ngerekiil, Airai</t>
  </si>
  <si>
    <t>PIA ARFF Building</t>
  </si>
  <si>
    <t>NOAA Office</t>
  </si>
  <si>
    <t>NEMO Office</t>
  </si>
  <si>
    <t>Ministry of Justice</t>
  </si>
  <si>
    <t>Convertion of the 175 sq. m. open ground floor into an office space</t>
  </si>
  <si>
    <t>PIA Old Terminal Building</t>
  </si>
  <si>
    <t>Ngerusar, Airai</t>
  </si>
  <si>
    <t>Reinforced oncrete roof deck</t>
  </si>
  <si>
    <t>Metal roofing framed with steel trusses</t>
  </si>
  <si>
    <t>Two-storey concrete framed building with concrete roof deck</t>
  </si>
  <si>
    <t>Single storey concrete framed building with concrete gable roof</t>
  </si>
  <si>
    <t>Two-storey concrete framed building with metal roofing</t>
  </si>
  <si>
    <t>Two-storey steel framed building with metal roofing</t>
  </si>
  <si>
    <t xml:space="preserve">PIA New Terminal Building </t>
  </si>
  <si>
    <t>Metal cladding</t>
  </si>
  <si>
    <t>PIA Cargo Terminal Building</t>
  </si>
  <si>
    <t xml:space="preserve">Palau National Aviation (PNA) Office </t>
  </si>
  <si>
    <t>Prefabricated two-storey steel framed building with metal roofing</t>
  </si>
  <si>
    <t>Airport to Ngerikiil Road</t>
  </si>
  <si>
    <t>Ngerikiil, Airai</t>
  </si>
  <si>
    <t>Primary</t>
  </si>
  <si>
    <t>0.25m thick Portland concrete</t>
  </si>
  <si>
    <t>PIA Maintenance Road</t>
  </si>
  <si>
    <t>Palau Mission Academy Road</t>
  </si>
  <si>
    <t>PIA Area Lease Road</t>
  </si>
  <si>
    <t>Palau Compact Road</t>
  </si>
  <si>
    <t xml:space="preserve">N. A. </t>
  </si>
  <si>
    <t>1ARB</t>
  </si>
  <si>
    <t>1NLB</t>
  </si>
  <si>
    <t>2NLB</t>
  </si>
  <si>
    <t>3NLB</t>
  </si>
  <si>
    <t>PIA Runway</t>
  </si>
  <si>
    <t>Palau International Airport</t>
  </si>
  <si>
    <t>PIA Main Tarmac</t>
  </si>
  <si>
    <t>Tarmac</t>
  </si>
  <si>
    <t>1970's</t>
  </si>
  <si>
    <t>PIA Secondary Apron</t>
  </si>
  <si>
    <t>Apron</t>
  </si>
  <si>
    <t>Airai</t>
  </si>
  <si>
    <t>1PIA</t>
  </si>
  <si>
    <t>2PIA</t>
  </si>
  <si>
    <t>3PIA</t>
  </si>
  <si>
    <t>4PIA</t>
  </si>
  <si>
    <t>5PIA</t>
  </si>
  <si>
    <t>6PIA</t>
  </si>
  <si>
    <t>1NLS</t>
  </si>
  <si>
    <t>2NLS</t>
  </si>
  <si>
    <t>3NLS</t>
  </si>
  <si>
    <t>4NLS</t>
  </si>
  <si>
    <t>5NLS</t>
  </si>
  <si>
    <t>6NLS</t>
  </si>
  <si>
    <t>7NLS</t>
  </si>
  <si>
    <t>1ARR</t>
  </si>
  <si>
    <t>2ARR</t>
  </si>
  <si>
    <t>3ARR</t>
  </si>
  <si>
    <t>4ARR</t>
  </si>
  <si>
    <t>1NLR</t>
  </si>
  <si>
    <t>2NLR</t>
  </si>
  <si>
    <t>3NLR</t>
  </si>
  <si>
    <t>4NLR</t>
  </si>
  <si>
    <t>5NLR</t>
  </si>
  <si>
    <t>6NLR</t>
  </si>
  <si>
    <t>7NLR</t>
  </si>
  <si>
    <t>8NLR</t>
  </si>
  <si>
    <t>9NLR</t>
  </si>
  <si>
    <t>10NLR</t>
  </si>
  <si>
    <t>11NLR</t>
  </si>
  <si>
    <t>12NLR</t>
  </si>
  <si>
    <t>13NLR</t>
  </si>
  <si>
    <t>14NLR</t>
  </si>
  <si>
    <t>1NLC</t>
  </si>
  <si>
    <t>2NLC</t>
  </si>
  <si>
    <t>1NRB</t>
  </si>
  <si>
    <t>Urung, Ngaraard</t>
  </si>
  <si>
    <t>1NTB</t>
  </si>
  <si>
    <t>Koksai, Ngatpang</t>
  </si>
  <si>
    <t>1980's</t>
  </si>
  <si>
    <t>1NCR</t>
  </si>
  <si>
    <t>Ollei Causeway Road</t>
  </si>
  <si>
    <t>Ollei, Ngarchelong</t>
  </si>
  <si>
    <t>2NCR</t>
  </si>
  <si>
    <t>Ngarchelong State Road Phase-I</t>
  </si>
  <si>
    <t>1NCP</t>
  </si>
  <si>
    <t>1NLP</t>
  </si>
  <si>
    <t xml:space="preserve">Wharf  </t>
  </si>
  <si>
    <t>Ollei Dock</t>
  </si>
  <si>
    <t>Replacement of damaged apron and seawall</t>
  </si>
  <si>
    <t>1NCB</t>
  </si>
  <si>
    <t>Ngetechur Bridge</t>
  </si>
  <si>
    <t>1NTP</t>
  </si>
  <si>
    <t>Kamesang Dock</t>
  </si>
  <si>
    <t>Ngatpang</t>
  </si>
  <si>
    <t>2NTP</t>
  </si>
  <si>
    <t>Miked Dock</t>
  </si>
  <si>
    <t>Grouted Riprap</t>
  </si>
  <si>
    <t>1NUP</t>
  </si>
  <si>
    <t>Ngardmau</t>
  </si>
  <si>
    <t>Ngerchelong</t>
  </si>
  <si>
    <t>2NCP</t>
  </si>
  <si>
    <t>Oketol Dock</t>
  </si>
  <si>
    <t>3NCP</t>
  </si>
  <si>
    <t>Ngerbau Dock</t>
  </si>
  <si>
    <t>2NUP</t>
  </si>
  <si>
    <t>3NTP</t>
  </si>
  <si>
    <t>Ibobang Dock</t>
  </si>
  <si>
    <t>Ngriil Road</t>
  </si>
  <si>
    <t>Ngriil, Ngarchelong</t>
  </si>
  <si>
    <t>5NCR</t>
  </si>
  <si>
    <t>6NCR</t>
  </si>
  <si>
    <t>Oketol, Ngarchelong</t>
  </si>
  <si>
    <t>Oketol Road Phase-I</t>
  </si>
  <si>
    <t>7NCR</t>
  </si>
  <si>
    <t>Oketol Road Phase-II</t>
  </si>
  <si>
    <t>3NCR</t>
  </si>
  <si>
    <t>4NCR</t>
  </si>
  <si>
    <t>8NCR</t>
  </si>
  <si>
    <t>9NCR</t>
  </si>
  <si>
    <t>Mengellang, Ngarchelong</t>
  </si>
  <si>
    <t>10NCR</t>
  </si>
  <si>
    <t>11NCR</t>
  </si>
  <si>
    <t>12NCR</t>
  </si>
  <si>
    <t>13NCR</t>
  </si>
  <si>
    <t>Todai Road Phase-I</t>
  </si>
  <si>
    <t>14NCR</t>
  </si>
  <si>
    <t>Todai Road Phase-II</t>
  </si>
  <si>
    <t>1NRR</t>
  </si>
  <si>
    <t>2NRR</t>
  </si>
  <si>
    <t>3NRR</t>
  </si>
  <si>
    <t>4NRR</t>
  </si>
  <si>
    <t>5NRR</t>
  </si>
  <si>
    <t>6NRR</t>
  </si>
  <si>
    <t>8NRR</t>
  </si>
  <si>
    <t>7NRR</t>
  </si>
  <si>
    <t>9NRR</t>
  </si>
  <si>
    <t>Ulimang, Ngaraard</t>
  </si>
  <si>
    <t>10NRR</t>
  </si>
  <si>
    <t>Ngkeklau, Ngaraard</t>
  </si>
  <si>
    <t>Ulimang Road Phase-I</t>
  </si>
  <si>
    <t xml:space="preserve">Ngaraard State Road Phase-VII (Ngkeklau) </t>
  </si>
  <si>
    <t>11NRR</t>
  </si>
  <si>
    <t>12NRR</t>
  </si>
  <si>
    <t>Elab Road Phase-I</t>
  </si>
  <si>
    <t>Elab, Ngaraard</t>
  </si>
  <si>
    <t>Ngaraard State Road Phase-VII (Orredakl to Ulimang)</t>
  </si>
  <si>
    <t>0.9m gravel shoulder (RC)</t>
  </si>
  <si>
    <t>Elab Road Phase-II</t>
  </si>
  <si>
    <t>13NRR</t>
  </si>
  <si>
    <t>14NRR</t>
  </si>
  <si>
    <t>Elab Road Phase-III</t>
  </si>
  <si>
    <t>Elab Road Phase-IV</t>
  </si>
  <si>
    <t>15NRR</t>
  </si>
  <si>
    <t>16NRR</t>
  </si>
  <si>
    <t>Elab Road Phase-V</t>
  </si>
  <si>
    <t>17NRR</t>
  </si>
  <si>
    <t>Elab Road Phase-VI</t>
  </si>
  <si>
    <t>Elab Road Phase-VII</t>
  </si>
  <si>
    <t>18NRR</t>
  </si>
  <si>
    <t>1990's</t>
  </si>
  <si>
    <t>compacted gravel</t>
  </si>
  <si>
    <t>Ulimang Road Phase-II</t>
  </si>
  <si>
    <t>compacted coral sand</t>
  </si>
  <si>
    <t>20NRR</t>
  </si>
  <si>
    <t>21NRR</t>
  </si>
  <si>
    <t>22NRR</t>
  </si>
  <si>
    <t>Ngkeklau-Ulimang Road Phase-I</t>
  </si>
  <si>
    <t>Ngkeklau-Ulimang Road Phase-II</t>
  </si>
  <si>
    <t>Ngkeklau-Ulimang Road Phase-III</t>
  </si>
  <si>
    <t>23NRR</t>
  </si>
  <si>
    <t>Ngkeklau-Ulimang Road Phase-IV</t>
  </si>
  <si>
    <t>24NRR</t>
  </si>
  <si>
    <t>Landfill-Ulimang Road</t>
  </si>
  <si>
    <t>1NWR</t>
  </si>
  <si>
    <t>Imekang, Ngiwal</t>
  </si>
  <si>
    <t>2NWR</t>
  </si>
  <si>
    <t>3NWR</t>
  </si>
  <si>
    <t>4NWR</t>
  </si>
  <si>
    <t>1.0m wide concrete swale</t>
  </si>
  <si>
    <t>Ngercheluuk, Ngiwal</t>
  </si>
  <si>
    <t>Ngermechau, Ngiwal</t>
  </si>
  <si>
    <t>5NWR</t>
  </si>
  <si>
    <t>0.30m wide concrete U-ditch</t>
  </si>
  <si>
    <t>0.75m wide riprap U-ditch</t>
  </si>
  <si>
    <t>6NWR</t>
  </si>
  <si>
    <t>Ngiwal Main Road Phase-I</t>
  </si>
  <si>
    <t>Ngiwal Main Road Phase-III</t>
  </si>
  <si>
    <t>Ngiwal Main Road Phase-II</t>
  </si>
  <si>
    <t>Ngiwal Main Road Phase-IV</t>
  </si>
  <si>
    <t>Ngiwal Main Road Phase-V</t>
  </si>
  <si>
    <t>Ngiwal Main Road Phase-VI</t>
  </si>
  <si>
    <t>7NWR</t>
  </si>
  <si>
    <t>Ngiwal Main Road Phase-VII</t>
  </si>
  <si>
    <t>8NWR</t>
  </si>
  <si>
    <t>Ngiwal Main Road Phase-VIII</t>
  </si>
  <si>
    <t>Ungiil, Ngiwal</t>
  </si>
  <si>
    <t>9NWR</t>
  </si>
  <si>
    <t>Ngiwal Main Road Phase-IIA</t>
  </si>
  <si>
    <t>10NWR</t>
  </si>
  <si>
    <t>Ngiwal Housing Area Road Phase-I</t>
  </si>
  <si>
    <t>11NWR</t>
  </si>
  <si>
    <t>Ngiwal Housing Area Road Phase-II</t>
  </si>
  <si>
    <t>2000's</t>
  </si>
  <si>
    <t>12NWR</t>
  </si>
  <si>
    <t>Ngiwal Protestant Church Road Phase-II</t>
  </si>
  <si>
    <t>0.75m wide concrete swale</t>
  </si>
  <si>
    <t>13NWR</t>
  </si>
  <si>
    <t>Ngiwal Protestant Church Road Phase-I</t>
  </si>
  <si>
    <t>1NDR</t>
  </si>
  <si>
    <t>Ngardmau Main Road Phase-I</t>
  </si>
  <si>
    <t>2NDR</t>
  </si>
  <si>
    <t>Ngardmau Main Road Phase-II</t>
  </si>
  <si>
    <t>Ngardmau Main Road Phase-III</t>
  </si>
  <si>
    <t>3NDR</t>
  </si>
  <si>
    <t>Ngardmau Main Road Phase-IV</t>
  </si>
  <si>
    <t>4NDR</t>
  </si>
  <si>
    <t>5NDR</t>
  </si>
  <si>
    <t>Ngardmau Main Road Phase-V</t>
  </si>
  <si>
    <t>0.9m wide concrete U-ditch</t>
  </si>
  <si>
    <t>6NDR</t>
  </si>
  <si>
    <t>Ngardmau Village Road</t>
  </si>
  <si>
    <t>14NWR</t>
  </si>
  <si>
    <t>Ngiwal Main Road Phase-IX</t>
  </si>
  <si>
    <t>7NDR</t>
  </si>
  <si>
    <t>Taoch er a Iwekei Dock</t>
  </si>
  <si>
    <t>Btelulachang er a Iwekei Dock</t>
  </si>
  <si>
    <t>Btelulachang er a Iwekei Dock Road</t>
  </si>
  <si>
    <t>Ngardmau North Road</t>
  </si>
  <si>
    <t>8NDR</t>
  </si>
  <si>
    <t>Ngeremlengui Compact Connecting Road Phase -VI</t>
  </si>
  <si>
    <t>15NLR</t>
  </si>
  <si>
    <t>1MKR</t>
  </si>
  <si>
    <t>Ngerulmuud Road</t>
  </si>
  <si>
    <t>Melekeok</t>
  </si>
  <si>
    <t>Ngerulmuud, Melekeok</t>
  </si>
  <si>
    <t xml:space="preserve">0.075m thick Asphalt concrete </t>
  </si>
  <si>
    <t>1.2m wide concrete swale</t>
  </si>
  <si>
    <t>0.9m concrete walkway (RC)</t>
  </si>
  <si>
    <t>2MKR</t>
  </si>
  <si>
    <t>Ngeruliang Road</t>
  </si>
  <si>
    <t>Ngeruliang, Melekeok</t>
  </si>
  <si>
    <t>3MKR</t>
  </si>
  <si>
    <t>4MKR</t>
  </si>
  <si>
    <t>5MKR</t>
  </si>
  <si>
    <t>Melekeok Main Road Phase-I</t>
  </si>
  <si>
    <t>Melekeok Main Road Phase-II</t>
  </si>
  <si>
    <t>Melekeok Main Road Phase-III</t>
  </si>
  <si>
    <t>6MKR</t>
  </si>
  <si>
    <t>Melekeok Main Road Phase-IV</t>
  </si>
  <si>
    <t>Melekeok Main Road Phase-V</t>
  </si>
  <si>
    <t>7MKR</t>
  </si>
  <si>
    <t>Ngerubesang, Melekeok</t>
  </si>
  <si>
    <t>8MKR</t>
  </si>
  <si>
    <t>Ngerubesang to Dispensary Road Phase-I</t>
  </si>
  <si>
    <t>9MKR</t>
  </si>
  <si>
    <t>Ngerubesang to Dispensary Road Phase-II</t>
  </si>
  <si>
    <t>10MKR</t>
  </si>
  <si>
    <t>Ngerubesang to Dispensary Road Phase-III</t>
  </si>
  <si>
    <t>11MKR</t>
  </si>
  <si>
    <t>Ngchesar</t>
  </si>
  <si>
    <t>12MKR</t>
  </si>
  <si>
    <t>Ngerubesang to PCR Road</t>
  </si>
  <si>
    <t>Capitol Dispensary Road</t>
  </si>
  <si>
    <t>9NDR</t>
  </si>
  <si>
    <t>Ngardmau to Melekeok Road</t>
  </si>
  <si>
    <t>1NSR</t>
  </si>
  <si>
    <t>Ngeruikl to Melekeok Road</t>
  </si>
  <si>
    <t>Ngeruikl, Ngchesar</t>
  </si>
  <si>
    <t>Ngchesar Main Road Phase-I</t>
  </si>
  <si>
    <t>3NSR</t>
  </si>
  <si>
    <t>2NSR</t>
  </si>
  <si>
    <t>Ngchesar Main Road Phase-II</t>
  </si>
  <si>
    <t>4NSR</t>
  </si>
  <si>
    <t>Ngchesar Main Road Phase-III</t>
  </si>
  <si>
    <t>5NSR</t>
  </si>
  <si>
    <t>Karmaliang, Ngchesar</t>
  </si>
  <si>
    <t>6NSR</t>
  </si>
  <si>
    <t>Ngchesar Main Road Phase-VI</t>
  </si>
  <si>
    <t>7NSR</t>
  </si>
  <si>
    <t>Karmaliang to Ngerngesang Road</t>
  </si>
  <si>
    <t>Ngerngesang, Ngchesar</t>
  </si>
  <si>
    <t>8NSR</t>
  </si>
  <si>
    <t>Ngersuul to Ngerngesang Road</t>
  </si>
  <si>
    <t>Ngersuul, Ngchesar</t>
  </si>
  <si>
    <t>Ngchesar Main Road Phase-V</t>
  </si>
  <si>
    <t>Shimizu, Ngchesar</t>
  </si>
  <si>
    <t>9NSR</t>
  </si>
  <si>
    <t>Kles Road</t>
  </si>
  <si>
    <t>Kles, Ngchesar</t>
  </si>
  <si>
    <t>10NSR</t>
  </si>
  <si>
    <t>Ngchesar Main Road Phase-VII</t>
  </si>
  <si>
    <t>11NSR</t>
  </si>
  <si>
    <t>Ngchesar Main Road Phase-VIII</t>
  </si>
  <si>
    <t>12NSR</t>
  </si>
  <si>
    <t>Ngchesar Main Road Phase-X</t>
  </si>
  <si>
    <t>Ngchesar Main Road Phase-IX</t>
  </si>
  <si>
    <t>13NSR</t>
  </si>
  <si>
    <t>14NSR</t>
  </si>
  <si>
    <t>Shimizu to Taberngesang Road</t>
  </si>
  <si>
    <t>Taberngesang, Ngchesar</t>
  </si>
  <si>
    <t>15NSR</t>
  </si>
  <si>
    <t>Koksai-Ngchesar Road Phase-IIIA</t>
  </si>
  <si>
    <t>16NSR</t>
  </si>
  <si>
    <t>Koksai-Ngchesar Road Phase-IIIB</t>
  </si>
  <si>
    <t>Koksai-Ngchesar Road Phase-IV</t>
  </si>
  <si>
    <t>17NSR</t>
  </si>
  <si>
    <t>18NSR</t>
  </si>
  <si>
    <t>Koksai-Ngchesar Road Phase-II</t>
  </si>
  <si>
    <t>Koksai-Ngchesar Road Phase-I</t>
  </si>
  <si>
    <t>19NSR</t>
  </si>
  <si>
    <t>1NTR</t>
  </si>
  <si>
    <t>Koksai-Nekken Road Phase -I</t>
  </si>
  <si>
    <t>2NTR</t>
  </si>
  <si>
    <t>Koksai-Nekken Road Phase -II</t>
  </si>
  <si>
    <t>3NTR</t>
  </si>
  <si>
    <t>4NTR</t>
  </si>
  <si>
    <t>Koksai-Nekken Road Phase -III</t>
  </si>
  <si>
    <t>Koksai-Nekken Road Phase -IV</t>
  </si>
  <si>
    <t>Nekken, Aimeliik</t>
  </si>
  <si>
    <t>5NTR</t>
  </si>
  <si>
    <t>Koksai-Nekken Road Phase -V</t>
  </si>
  <si>
    <t>6NTR</t>
  </si>
  <si>
    <t>Koksai-Nekken Road Phase -VI</t>
  </si>
  <si>
    <t>Koksai-Nekken Road Phase -VII</t>
  </si>
  <si>
    <t>7NTR</t>
  </si>
  <si>
    <t>8NTR</t>
  </si>
  <si>
    <t>Mechebechubel Road</t>
  </si>
  <si>
    <t>Mechebechubel, Ngatpang</t>
  </si>
  <si>
    <t>9NTR</t>
  </si>
  <si>
    <t>Quarry Road to State Office Road</t>
  </si>
  <si>
    <t>State Office to Miked Dock  Road</t>
  </si>
  <si>
    <t>10NTR</t>
  </si>
  <si>
    <t>11NTR</t>
  </si>
  <si>
    <t>State Office to Kamesang Dock  Road</t>
  </si>
  <si>
    <t>12NTR</t>
  </si>
  <si>
    <t>Ibobang Road Phase -I</t>
  </si>
  <si>
    <t>Ibobang, Ngatpang</t>
  </si>
  <si>
    <t>13NTR</t>
  </si>
  <si>
    <t>Ibobang Road Phase -II</t>
  </si>
  <si>
    <t>1AKR</t>
  </si>
  <si>
    <t>Meltelatel Road Phase -I</t>
  </si>
  <si>
    <t>Meltelatel, Aimeliik</t>
  </si>
  <si>
    <t>2AKR</t>
  </si>
  <si>
    <t>Meltelatel Road Phase -II</t>
  </si>
  <si>
    <t>0.9m basecourse shoulder (RC)</t>
  </si>
  <si>
    <t>3AKR</t>
  </si>
  <si>
    <t>Meltelatel Road Phase -III</t>
  </si>
  <si>
    <t>Meltelatel Road Phase -IV</t>
  </si>
  <si>
    <t>4AKR</t>
  </si>
  <si>
    <t>5AKR</t>
  </si>
  <si>
    <t>Meltelatel Road Phase -V</t>
  </si>
  <si>
    <t>Meltelatel Road Phase -VI</t>
  </si>
  <si>
    <t>6AKR</t>
  </si>
  <si>
    <t>Mongami Road Phase -V</t>
  </si>
  <si>
    <t>Mongami, Aimeliik</t>
  </si>
  <si>
    <t>7AKR</t>
  </si>
  <si>
    <t>Mongami Road Phase -IV</t>
  </si>
  <si>
    <t>8AKR</t>
  </si>
  <si>
    <t>Mongami Road Phase -III</t>
  </si>
  <si>
    <t>9AKR</t>
  </si>
  <si>
    <t>Mongami Road Phase -II</t>
  </si>
  <si>
    <t>10AKR</t>
  </si>
  <si>
    <t>Mongami Road Phase -I</t>
  </si>
  <si>
    <t>11AKR</t>
  </si>
  <si>
    <t>Kamusang Dock Road</t>
  </si>
  <si>
    <t>12AKR</t>
  </si>
  <si>
    <t>Meltelatel to Nekken Road</t>
  </si>
  <si>
    <t>Nekken to Ipseco Road</t>
  </si>
  <si>
    <t>Medorm, Aimeliik</t>
  </si>
  <si>
    <t>Imelsubech to Ngerkeai Road</t>
  </si>
  <si>
    <t>Imelsubech, Aimeliik</t>
  </si>
  <si>
    <t>13AKR</t>
  </si>
  <si>
    <t>14AKR</t>
  </si>
  <si>
    <t>15AKR</t>
  </si>
  <si>
    <t>Elechui Road</t>
  </si>
  <si>
    <t>Elechui, Aimeliik</t>
  </si>
  <si>
    <t>16AKR</t>
  </si>
  <si>
    <t>Medorm Road Phase -I</t>
  </si>
  <si>
    <t>Medorm Road Phase -II</t>
  </si>
  <si>
    <t>17AKR</t>
  </si>
  <si>
    <t>Medorm Road Phase -III</t>
  </si>
  <si>
    <t>18AKR</t>
  </si>
  <si>
    <t>0.6m concrete swale</t>
  </si>
  <si>
    <t>5ARR</t>
  </si>
  <si>
    <t>PIA to State Office Road</t>
  </si>
  <si>
    <t>0.1m thick Asphalt concrete</t>
  </si>
  <si>
    <t>0.9m Asphalt shoulder</t>
  </si>
  <si>
    <t>6ARR</t>
  </si>
  <si>
    <t>State Office to Ngerusar Road</t>
  </si>
  <si>
    <t>0.9m concrete shoulder</t>
  </si>
  <si>
    <t>7ARR</t>
  </si>
  <si>
    <t>Airai State Main Road Phase-VIIB</t>
  </si>
  <si>
    <t>Airai State Main Road Phase-III</t>
  </si>
  <si>
    <t>9ARR</t>
  </si>
  <si>
    <t>8ARR</t>
  </si>
  <si>
    <t>Airai State Main Road Phase-IV</t>
  </si>
  <si>
    <t>Ked, Airai</t>
  </si>
  <si>
    <t>Ngchemiangel, Aimeliik</t>
  </si>
  <si>
    <t>Airai State Main Road Phase-VIA</t>
  </si>
  <si>
    <t>10ARR</t>
  </si>
  <si>
    <t>11ARR</t>
  </si>
  <si>
    <t>Airai State Main Road Phase-VIIA</t>
  </si>
  <si>
    <t>12ARR</t>
  </si>
  <si>
    <t>Airai State Main Road Phase-V</t>
  </si>
  <si>
    <t>13ARR</t>
  </si>
  <si>
    <t>Airai State Main Road Phase-VIB</t>
  </si>
  <si>
    <t>14ARR</t>
  </si>
  <si>
    <t>Abai Road</t>
  </si>
  <si>
    <t>0.075m thick Asphalt concrete</t>
  </si>
  <si>
    <t>0.9m gravel shoulder</t>
  </si>
  <si>
    <t>15ARR</t>
  </si>
  <si>
    <t>Kesabelau Road</t>
  </si>
  <si>
    <t>16ARR</t>
  </si>
  <si>
    <t>Ngerusar to Ngeroluobel Road</t>
  </si>
  <si>
    <t>Ngeroluobel, Airai</t>
  </si>
  <si>
    <t>17ARR</t>
  </si>
  <si>
    <t>Meketii, Koror</t>
  </si>
  <si>
    <t>Ngetkib, Airai</t>
  </si>
  <si>
    <t>PCR-1</t>
  </si>
  <si>
    <t>Palau Compact Road (Package-D North)</t>
  </si>
  <si>
    <t>1.2m concrete shoulder (RC)</t>
  </si>
  <si>
    <t>PCR-2</t>
  </si>
  <si>
    <t>Palau Compact Road (Package-D West/East)</t>
  </si>
  <si>
    <t>0.085m thick Asphalt concrete</t>
  </si>
  <si>
    <t>PCR-3</t>
  </si>
  <si>
    <t>Palau Compact Road (Package-C West)</t>
  </si>
  <si>
    <t>PCR-4</t>
  </si>
  <si>
    <t>Palau Compact Road (Package-C East)</t>
  </si>
  <si>
    <t>PCR-5</t>
  </si>
  <si>
    <t>Palau Compact Road (Package-B)</t>
  </si>
  <si>
    <t>PCR-6</t>
  </si>
  <si>
    <t>Palau Compact Road (Package-A)</t>
  </si>
  <si>
    <t>Oikull Road</t>
  </si>
  <si>
    <t>Oikull, Airai</t>
  </si>
  <si>
    <t>Oikull Dock Road</t>
  </si>
  <si>
    <t>Oikull Quarry Road</t>
  </si>
  <si>
    <t>18ARR</t>
  </si>
  <si>
    <t>19ARR</t>
  </si>
  <si>
    <t>20ARR</t>
  </si>
  <si>
    <t>1KRR</t>
  </si>
  <si>
    <t>Ngetmeduch, Koror</t>
  </si>
  <si>
    <t>2KRR</t>
  </si>
  <si>
    <t>Meketii to Malakal Road</t>
  </si>
  <si>
    <t>3KRR</t>
  </si>
  <si>
    <t>Medalaii to Ngerkebesang Road</t>
  </si>
  <si>
    <t>Medalaii, Koror</t>
  </si>
  <si>
    <t>Ngerkebesang, Koror</t>
  </si>
  <si>
    <t>KB Bridge to Meketii Road</t>
  </si>
  <si>
    <t>Ngetbong, Ngardmau</t>
  </si>
  <si>
    <t>Urdmang, Ngardmau</t>
  </si>
  <si>
    <t>Ngardok, Melekeok</t>
  </si>
  <si>
    <t>4KRR</t>
  </si>
  <si>
    <t>Ngermid Road Phase-I</t>
  </si>
  <si>
    <t>Ngermid, Koror</t>
  </si>
  <si>
    <t>5KRR</t>
  </si>
  <si>
    <t>Ngermid Road Phase-II</t>
  </si>
  <si>
    <t>6KRR</t>
  </si>
  <si>
    <t>Iyebukel, Koror</t>
  </si>
  <si>
    <t>0.25m concrete u-ditch</t>
  </si>
  <si>
    <t>7KRR</t>
  </si>
  <si>
    <t>T-Dock Road Phase-I</t>
  </si>
  <si>
    <t>8KRR</t>
  </si>
  <si>
    <t>T-Dock Road Phase-II</t>
  </si>
  <si>
    <t>9KRR</t>
  </si>
  <si>
    <t>Ngesekes Road Phase-I</t>
  </si>
  <si>
    <t>Ngerbeched, Koror</t>
  </si>
  <si>
    <t>10KRR</t>
  </si>
  <si>
    <t>11KRR</t>
  </si>
  <si>
    <t>Ngerbeched Road (Museum)</t>
  </si>
  <si>
    <t>Ngerbeched Road (PRA) Phase-I</t>
  </si>
  <si>
    <t>Ngerbeched Road (PRA) Phase-II</t>
  </si>
  <si>
    <t>Ngerbeched Road (PRA) Phase-III</t>
  </si>
  <si>
    <t>Iyebukel Road</t>
  </si>
  <si>
    <t>Ngerchamai Road</t>
  </si>
  <si>
    <t>M-Dock Road</t>
  </si>
  <si>
    <t>Ngerungsil Road Phase-I</t>
  </si>
  <si>
    <t>Malakal, Koror</t>
  </si>
  <si>
    <t>0.9m concrete walkway</t>
  </si>
  <si>
    <t>0.30m concrete curb &amp; gutter</t>
  </si>
  <si>
    <t>Ngerungsil Road Phase-II</t>
  </si>
  <si>
    <t>Malakal Port Road</t>
  </si>
  <si>
    <t>1PLR</t>
  </si>
  <si>
    <t>Ngeroluobel to KB Bridge Road</t>
  </si>
  <si>
    <t>Elochel to Klouklubed Road</t>
  </si>
  <si>
    <t>Elochel, Peleliu</t>
  </si>
  <si>
    <t>Klouklubed, Peleliu</t>
  </si>
  <si>
    <t>0.05m thick Asphalt concrete</t>
  </si>
  <si>
    <t>2PLR</t>
  </si>
  <si>
    <t>Elochel Back Road</t>
  </si>
  <si>
    <t>Showcase Building Ngerbau Park</t>
  </si>
  <si>
    <t>Ngarchelong State Government</t>
  </si>
  <si>
    <t>Ngerbau, Ngarchelong</t>
  </si>
  <si>
    <t>Bai ra Ngerbau</t>
  </si>
  <si>
    <t>Single-storey concrete framed building with masonry wall and concrete deck roofing</t>
  </si>
  <si>
    <t>Bai ra Iyebukl</t>
  </si>
  <si>
    <t>Iyebukl, Ngarchelong</t>
  </si>
  <si>
    <t>Bai ra Ngebei</t>
  </si>
  <si>
    <t>Ngebei, Ngarchelong</t>
  </si>
  <si>
    <t>Bai ra Mengellang</t>
  </si>
  <si>
    <t>Single-storey concrete framed building with masonry wall and concrete deck with tin roofing</t>
  </si>
  <si>
    <t>Construction of tin roofing and general painting works</t>
  </si>
  <si>
    <t>Concrete roof deck with tin roof wooden trusses</t>
  </si>
  <si>
    <t>Bai ra Ollei</t>
  </si>
  <si>
    <t>Ollei Port Ice Machine Building</t>
  </si>
  <si>
    <t>Two-storey concrete framed building with concrete gable roof</t>
  </si>
  <si>
    <t>NA</t>
  </si>
  <si>
    <t>Multi-Purpose Building (Delobech)</t>
  </si>
  <si>
    <t>Ngermetong, Ngarchelong</t>
  </si>
  <si>
    <t>Oketol Dock Building</t>
  </si>
  <si>
    <t>Ngarchelong State Office Building</t>
  </si>
  <si>
    <t>Two-storey concrete framed building with tin roofing</t>
  </si>
  <si>
    <t>Belau National Hospital</t>
  </si>
  <si>
    <t>Koror</t>
  </si>
  <si>
    <t>JFK Kayangel Elementary School</t>
  </si>
  <si>
    <t>Kayangel State</t>
  </si>
  <si>
    <t>Ngarchelong Elementary School</t>
  </si>
  <si>
    <t>1960's</t>
  </si>
  <si>
    <t>Ngarchelong Elementary School (Kitchen)</t>
  </si>
  <si>
    <t>Ngaraard Elementary School (Classroom/Library/Office/Comp.Lab/SPED)</t>
  </si>
  <si>
    <t>Ngaraard Elementary School (Kitchen)</t>
  </si>
  <si>
    <t>Ngardmau Elementary School (Classroom)</t>
  </si>
  <si>
    <t>Ngardmau Elementary School (Kitchen)</t>
  </si>
  <si>
    <t>Ngardmau Elementary School (Computer Lab)</t>
  </si>
  <si>
    <t>Melekeok Elementary School (Classroom)</t>
  </si>
  <si>
    <t>Melekeok Elementary School (Kitchen)</t>
  </si>
  <si>
    <t>Ngermelengui Elementary School (Classroom)</t>
  </si>
  <si>
    <t>Ngermelengui Elementary School (Kitchen)</t>
  </si>
  <si>
    <t>Ibobang Elementary School (Classroom)</t>
  </si>
  <si>
    <t>Ibobang Elementary School (Lab)</t>
  </si>
  <si>
    <t>Ibobang Elementary School (Kitchen)</t>
  </si>
  <si>
    <t>Aimeliik Elementary School (2-storey classroom)</t>
  </si>
  <si>
    <t>Two storey concrete framed building with half masonry half wooden wall and tin roofing</t>
  </si>
  <si>
    <t>Aimeliik Elementary School (Classroom-Office)</t>
  </si>
  <si>
    <t>Aimeliik Elementary School (Kitchen)</t>
  </si>
  <si>
    <t>Aimeliik Elementary School (Special Ed)</t>
  </si>
  <si>
    <t>Airai Elementary School (Classroom)</t>
  </si>
  <si>
    <t>Airai Elementary School (Student Center)</t>
  </si>
  <si>
    <t>Airai Elementary School (Kitchen)</t>
  </si>
  <si>
    <t>Goerge B. Harris Elementary School (8-Grade)</t>
  </si>
  <si>
    <t>Iyebukl, Koror</t>
  </si>
  <si>
    <t>Goerge B. Harris Elementary School (7-Grade)</t>
  </si>
  <si>
    <t>Goerge B. Harris Elementary School (6-Grade)</t>
  </si>
  <si>
    <t>Goerge B. Harris Elementary School (4-5 Grade)</t>
  </si>
  <si>
    <t>Goerge B. Harris Elementary School (3-4 Grade)</t>
  </si>
  <si>
    <t>Goerge B. Harris Elementary School (2-3 Grade)</t>
  </si>
  <si>
    <t>Goerge B. Harris Elementary School (1-2 Grade)</t>
  </si>
  <si>
    <t>Goerge B. Harris Elementary School (Kitchen Cafeteria)</t>
  </si>
  <si>
    <t>Koror Elementary School (Office)</t>
  </si>
  <si>
    <t>Koror Elementary School (Gym)</t>
  </si>
  <si>
    <t>Single Storey steel framed cable tin roof</t>
  </si>
  <si>
    <t>Koror Elementary School (Open Stage)</t>
  </si>
  <si>
    <t>Koror Elementary School (Building B)</t>
  </si>
  <si>
    <t>Koror Elementary School (Building C)</t>
  </si>
  <si>
    <t>Koror Elementary School (Building D)</t>
  </si>
  <si>
    <t>Koror Elementary School (Building E)</t>
  </si>
  <si>
    <t>Koror Elementary School (Building F)</t>
  </si>
  <si>
    <t>Koror Elementary School (Building G)</t>
  </si>
  <si>
    <t>Koror Elementary School (Building H)</t>
  </si>
  <si>
    <t>Koror Elementary School (Building I)</t>
  </si>
  <si>
    <t>Koror Elementary School (Building J)</t>
  </si>
  <si>
    <t>Koror Elementary School (Building K)</t>
  </si>
  <si>
    <t>Koror Elementary School ( Building M)</t>
  </si>
  <si>
    <t>Roof replacement</t>
  </si>
  <si>
    <t>Koror Elementary School (Building N)</t>
  </si>
  <si>
    <t>Roof replacement and installing wooden door frame</t>
  </si>
  <si>
    <t>Koror Elementary School (Cafeteria)</t>
  </si>
  <si>
    <t>Exterior Painting</t>
  </si>
  <si>
    <t>Meyuns, Koror</t>
  </si>
  <si>
    <t>Vice President Office</t>
  </si>
  <si>
    <t>Marine Law</t>
  </si>
  <si>
    <t>Bai ra Bul (Bureau of Maritime Security and Fish &amp; Wildlife Protection</t>
  </si>
  <si>
    <t>Marine Law Warehouse</t>
  </si>
  <si>
    <t>Interior and Exterior Refurbishment</t>
  </si>
  <si>
    <t>Steel Frame</t>
  </si>
  <si>
    <t>Cement Board</t>
  </si>
  <si>
    <t>BRT (Bismark Rengiil Termeteet)</t>
  </si>
  <si>
    <t>Fire and Rescue Building</t>
  </si>
  <si>
    <t>Police Sub-Station (Melekeok)</t>
  </si>
  <si>
    <t>Concrete two &amp; single storey buiding with masonry wall and tin roofing</t>
  </si>
  <si>
    <t>Police Sub-Station (Ngardmau)</t>
  </si>
  <si>
    <t>Three storey converted to two story with tin roof and concrete floor</t>
  </si>
  <si>
    <t>Tin roof framed with steel trusses</t>
  </si>
  <si>
    <t>Steel frame with tin walling</t>
  </si>
  <si>
    <t>Imekang Dock</t>
  </si>
  <si>
    <t>Ngiwal</t>
  </si>
  <si>
    <t>Power Plant Dock</t>
  </si>
  <si>
    <t>Aimeliik( Ngchemiangel)</t>
  </si>
  <si>
    <t>Kamosang Dock</t>
  </si>
  <si>
    <t>M-Dock</t>
  </si>
  <si>
    <t>T-Dock ( East Side )</t>
  </si>
  <si>
    <t>T-Dock ( West Side )</t>
  </si>
  <si>
    <t>Echang Dock</t>
  </si>
  <si>
    <t>Skojio</t>
  </si>
  <si>
    <t>Ngetkedam Dock</t>
  </si>
  <si>
    <t>Mechang Dock</t>
  </si>
  <si>
    <t>Nandeng Dock</t>
  </si>
  <si>
    <t>Chemang dock</t>
  </si>
  <si>
    <t>Ngebuked C-9</t>
  </si>
  <si>
    <t>RC Box culvert</t>
  </si>
  <si>
    <t>Ngebuked C-2</t>
  </si>
  <si>
    <t>Ngebuked C-3</t>
  </si>
  <si>
    <t>Ngebuked C-5</t>
  </si>
  <si>
    <t>Ngebuked C-6</t>
  </si>
  <si>
    <t>Ngebuked C-7</t>
  </si>
  <si>
    <t>Ngebuked C-8</t>
  </si>
  <si>
    <t>Butilei Road</t>
  </si>
  <si>
    <t>Dngeronger, Koror</t>
  </si>
  <si>
    <t>N.A</t>
  </si>
  <si>
    <t>Dngeronger Road</t>
  </si>
  <si>
    <t>Mokko Road</t>
  </si>
  <si>
    <t>Idid, Koror</t>
  </si>
  <si>
    <t>Osakahang Road</t>
  </si>
  <si>
    <t>Ikelau Road</t>
  </si>
  <si>
    <t>Ikelau, Koror</t>
  </si>
  <si>
    <t>Meias Road</t>
  </si>
  <si>
    <t>Ngerbodel Road</t>
  </si>
  <si>
    <t>Nandeng Road</t>
  </si>
  <si>
    <t>Ngerias Road</t>
  </si>
  <si>
    <t>Bibiroi Road</t>
  </si>
  <si>
    <t>3PLR</t>
  </si>
  <si>
    <t>Klouklubed to Uet Back Road</t>
  </si>
  <si>
    <t>Uet, Peleliu</t>
  </si>
  <si>
    <t>4PLR</t>
  </si>
  <si>
    <t>0.3m concrete U-ditch</t>
  </si>
  <si>
    <t xml:space="preserve">Ngarchelong State Road Phase-II </t>
  </si>
  <si>
    <t xml:space="preserve">Ngarchelong State Road Phase-III </t>
  </si>
  <si>
    <t>Ngarchelong State Road Phase-IV</t>
  </si>
  <si>
    <t>Ngarchelong State Road Phase-V</t>
  </si>
  <si>
    <t xml:space="preserve">Ngarchelong State Road Phase-VI </t>
  </si>
  <si>
    <t xml:space="preserve">Ngarchelong State Road Phase-VIIA </t>
  </si>
  <si>
    <t>Ngarchelong State Road Phase-VIIB</t>
  </si>
  <si>
    <t>Ngebuked, Ngaraard</t>
  </si>
  <si>
    <t>Ngaraard State Road Phase-VI (Orredakl to Ulimang)</t>
  </si>
  <si>
    <t xml:space="preserve">Ngaraard State Road Phase-V </t>
  </si>
  <si>
    <t xml:space="preserve">Ngaraard State Road Phase-IV Pack-2 </t>
  </si>
  <si>
    <t xml:space="preserve">Ngaraard State Road Phase-IV Pack-1 </t>
  </si>
  <si>
    <t xml:space="preserve">Ngaraard State Road Phase-IV Pack-3 </t>
  </si>
  <si>
    <t>Ngaraard State Road Phase-III (Ngkeklau)</t>
  </si>
  <si>
    <t xml:space="preserve">Ngaraard State Road Phase-II </t>
  </si>
  <si>
    <t xml:space="preserve">Ngaraard State Road Phase-I (Ngkeklau) </t>
  </si>
  <si>
    <t>1950's</t>
  </si>
  <si>
    <t>Ngerkesoaol Road</t>
  </si>
  <si>
    <t>12KRR</t>
  </si>
  <si>
    <t>13KRR</t>
  </si>
  <si>
    <t>14KRR</t>
  </si>
  <si>
    <t>15KRR</t>
  </si>
  <si>
    <t>16KRR</t>
  </si>
  <si>
    <t>17KRR</t>
  </si>
  <si>
    <t>18KRR</t>
  </si>
  <si>
    <t>19KRR</t>
  </si>
  <si>
    <t>20KRR</t>
  </si>
  <si>
    <t>Ngerkesoaol, Koror</t>
  </si>
  <si>
    <t>Ngerchamai, Koror</t>
  </si>
  <si>
    <t>Ngerbodel to Ngerchamai Road</t>
  </si>
  <si>
    <t>21KRR</t>
  </si>
  <si>
    <t>22KRR</t>
  </si>
  <si>
    <t>23KRR</t>
  </si>
  <si>
    <t>24KRR</t>
  </si>
  <si>
    <t>25KRR</t>
  </si>
  <si>
    <t>26KRR</t>
  </si>
  <si>
    <t>27KRR</t>
  </si>
  <si>
    <t>28KRR</t>
  </si>
  <si>
    <t>29KRR</t>
  </si>
  <si>
    <t>Iroru Road</t>
  </si>
  <si>
    <t>30KRR</t>
  </si>
  <si>
    <t>31KRR</t>
  </si>
  <si>
    <t>32KRR</t>
  </si>
  <si>
    <t>33KRR</t>
  </si>
  <si>
    <t>34KRR</t>
  </si>
  <si>
    <t>1NCS</t>
  </si>
  <si>
    <t>2NCS</t>
  </si>
  <si>
    <t>3NCS</t>
  </si>
  <si>
    <t>4NCS</t>
  </si>
  <si>
    <t>5NCS</t>
  </si>
  <si>
    <t>6NCS</t>
  </si>
  <si>
    <t>7NCS</t>
  </si>
  <si>
    <t>8NCS</t>
  </si>
  <si>
    <t>9NCS</t>
  </si>
  <si>
    <t>11NCS</t>
  </si>
  <si>
    <t>10NCS</t>
  </si>
  <si>
    <t>1MOH</t>
  </si>
  <si>
    <t>2MOH</t>
  </si>
  <si>
    <t>3MOH</t>
  </si>
  <si>
    <t>4MOH</t>
  </si>
  <si>
    <t>5MOH</t>
  </si>
  <si>
    <t>Koror Community Health Center</t>
  </si>
  <si>
    <t>1MOE</t>
  </si>
  <si>
    <t>2MOE</t>
  </si>
  <si>
    <t>3MOE</t>
  </si>
  <si>
    <t>4MOE</t>
  </si>
  <si>
    <t>5MOE</t>
  </si>
  <si>
    <t>6MOE</t>
  </si>
  <si>
    <t>7MOE</t>
  </si>
  <si>
    <t>8MOE</t>
  </si>
  <si>
    <t>9MOE</t>
  </si>
  <si>
    <t>10MOE</t>
  </si>
  <si>
    <t>11MOE</t>
  </si>
  <si>
    <t>12MOE</t>
  </si>
  <si>
    <t>13MOE</t>
  </si>
  <si>
    <t>14MOE</t>
  </si>
  <si>
    <t>15MOE</t>
  </si>
  <si>
    <t>16MOE</t>
  </si>
  <si>
    <t>17MOE</t>
  </si>
  <si>
    <t>18MOE</t>
  </si>
  <si>
    <t>19MOE</t>
  </si>
  <si>
    <t>20MOE</t>
  </si>
  <si>
    <t>21MOE</t>
  </si>
  <si>
    <t>22MOE</t>
  </si>
  <si>
    <t>23MOE</t>
  </si>
  <si>
    <t>24MOE</t>
  </si>
  <si>
    <t>25MOE</t>
  </si>
  <si>
    <t>26MOE</t>
  </si>
  <si>
    <t>27MOE</t>
  </si>
  <si>
    <t>28MOE</t>
  </si>
  <si>
    <t>29MOE</t>
  </si>
  <si>
    <t>30MOE</t>
  </si>
  <si>
    <t>31MOE</t>
  </si>
  <si>
    <t>32MOE</t>
  </si>
  <si>
    <t>33MOE</t>
  </si>
  <si>
    <t>34MOE</t>
  </si>
  <si>
    <t>35MOE</t>
  </si>
  <si>
    <t>36MOE</t>
  </si>
  <si>
    <t>37MOE</t>
  </si>
  <si>
    <t>38MOE</t>
  </si>
  <si>
    <t>39MOE</t>
  </si>
  <si>
    <t>40MOE</t>
  </si>
  <si>
    <t>41MOE</t>
  </si>
  <si>
    <t>42MOE</t>
  </si>
  <si>
    <t>43MOE</t>
  </si>
  <si>
    <t>44MOE</t>
  </si>
  <si>
    <t>45MOE</t>
  </si>
  <si>
    <t>46MOE</t>
  </si>
  <si>
    <t>47MOE</t>
  </si>
  <si>
    <t>48MOE</t>
  </si>
  <si>
    <t>1MOJ</t>
  </si>
  <si>
    <t>2MOJ</t>
  </si>
  <si>
    <t>3MOJ</t>
  </si>
  <si>
    <t>4MOJ</t>
  </si>
  <si>
    <t>5MOJ</t>
  </si>
  <si>
    <t>6MOJ</t>
  </si>
  <si>
    <t>7MOJ</t>
  </si>
  <si>
    <t>8MOJ</t>
  </si>
  <si>
    <t>9MOJ</t>
  </si>
  <si>
    <t>10MOJ</t>
  </si>
  <si>
    <t>1NRC</t>
  </si>
  <si>
    <t>2NRC</t>
  </si>
  <si>
    <t>3NRC</t>
  </si>
  <si>
    <t>4NRC</t>
  </si>
  <si>
    <t>5NRC</t>
  </si>
  <si>
    <t>6NRC</t>
  </si>
  <si>
    <t>7NRC</t>
  </si>
  <si>
    <t>Ngaraard</t>
  </si>
  <si>
    <t>Ngel Road</t>
  </si>
  <si>
    <t>Ngerchemai, Koror</t>
  </si>
  <si>
    <t>3D Road</t>
  </si>
  <si>
    <t>Chemang Road</t>
  </si>
  <si>
    <t>Diberdii Road</t>
  </si>
  <si>
    <t>Bital Ked Road</t>
  </si>
  <si>
    <t>Mechang Road</t>
  </si>
  <si>
    <t>Etang Road</t>
  </si>
  <si>
    <t>Nikko Bay Road</t>
  </si>
  <si>
    <t>Ngesaol Road</t>
  </si>
  <si>
    <t>Semiich Road (South)</t>
  </si>
  <si>
    <t>Semiich Road (North)</t>
  </si>
  <si>
    <t>N/A</t>
  </si>
  <si>
    <t>w/out sidewalk</t>
  </si>
  <si>
    <t>Meda Loop Road</t>
  </si>
  <si>
    <t xml:space="preserve">Plantation Resort Road </t>
  </si>
  <si>
    <t xml:space="preserve">Ngebekuu Road </t>
  </si>
  <si>
    <t>0.3m wide concrete u-ditch</t>
  </si>
  <si>
    <t>0.9m wide concrete swale</t>
  </si>
  <si>
    <t>GBH Back Road</t>
  </si>
  <si>
    <t>Osakahang Back Road</t>
  </si>
  <si>
    <t>Idid Road</t>
  </si>
  <si>
    <t>35KRR</t>
  </si>
  <si>
    <t>Ngesekes Road Phase-II</t>
  </si>
  <si>
    <t>SDA Church Back Road</t>
  </si>
  <si>
    <t>0.5m wide concrete swale</t>
  </si>
  <si>
    <t>36KRR</t>
  </si>
  <si>
    <t>37KRR</t>
  </si>
  <si>
    <t>Sireib Road</t>
  </si>
  <si>
    <t>38KRR</t>
  </si>
  <si>
    <t>39KRR</t>
  </si>
  <si>
    <t xml:space="preserve">Deleb Road </t>
  </si>
  <si>
    <t>40KRR</t>
  </si>
  <si>
    <t xml:space="preserve">Taoch Road </t>
  </si>
  <si>
    <t>0.6m wide concrete swale</t>
  </si>
  <si>
    <t>41KRR</t>
  </si>
  <si>
    <t xml:space="preserve">Pink Apartment Road </t>
  </si>
  <si>
    <t>42KRR</t>
  </si>
  <si>
    <t>LEHN's Road</t>
  </si>
  <si>
    <t>KES Road</t>
  </si>
  <si>
    <t>43KRR</t>
  </si>
  <si>
    <t>44KRR</t>
  </si>
  <si>
    <t>Ngebekuu Main Road</t>
  </si>
  <si>
    <t>45KRR</t>
  </si>
  <si>
    <t>46KRR</t>
  </si>
  <si>
    <t>47KRR</t>
  </si>
  <si>
    <t>48KRR</t>
  </si>
  <si>
    <t>49KRR</t>
  </si>
  <si>
    <t>50KRR</t>
  </si>
  <si>
    <t>Ngel Back Road</t>
  </si>
  <si>
    <t>55KRR</t>
  </si>
  <si>
    <t>51KRR</t>
  </si>
  <si>
    <t>52KRR</t>
  </si>
  <si>
    <t>53KRR</t>
  </si>
  <si>
    <t>54KRR</t>
  </si>
  <si>
    <t>56KRR</t>
  </si>
  <si>
    <t>57KRR</t>
  </si>
  <si>
    <t>5PLR</t>
  </si>
  <si>
    <t>Uet to Kambek Road</t>
  </si>
  <si>
    <t>Klouklubed to Uet West Road</t>
  </si>
  <si>
    <t>Teliu, Peleliu</t>
  </si>
  <si>
    <t>0.15m thick coral rock</t>
  </si>
  <si>
    <t>6PLR</t>
  </si>
  <si>
    <t>Power Plant to Airport Road</t>
  </si>
  <si>
    <t>8PLR</t>
  </si>
  <si>
    <t>Shinto Shrine Road</t>
  </si>
  <si>
    <t>9PLR</t>
  </si>
  <si>
    <t>Airport East Road</t>
  </si>
  <si>
    <t>10PLR</t>
  </si>
  <si>
    <t>Oriental Mangrove Road</t>
  </si>
  <si>
    <t>11PLR</t>
  </si>
  <si>
    <t>Memorial Park Road</t>
  </si>
  <si>
    <t>PIA Taxiway A</t>
  </si>
  <si>
    <t>PIA Taxiway B</t>
  </si>
  <si>
    <t>PIA Taxiway C</t>
  </si>
  <si>
    <t>1PLA</t>
  </si>
  <si>
    <t>Peleliu Airstrip</t>
  </si>
  <si>
    <t>Peleliu Airport</t>
  </si>
  <si>
    <t>Peleliu</t>
  </si>
  <si>
    <t>1940's</t>
  </si>
  <si>
    <t>1AGR</t>
  </si>
  <si>
    <t>Dock to Church Road</t>
  </si>
  <si>
    <t>Angaur</t>
  </si>
  <si>
    <t>Rois, Angaur</t>
  </si>
  <si>
    <t>Ngermas, Angaur</t>
  </si>
  <si>
    <t>Dock to Convent Road</t>
  </si>
  <si>
    <t>2AGR</t>
  </si>
  <si>
    <t>Ngerbelau, Angaur</t>
  </si>
  <si>
    <t>3AGR</t>
  </si>
  <si>
    <t>First Avenue</t>
  </si>
  <si>
    <t>4AGR</t>
  </si>
  <si>
    <t>Second Avenue</t>
  </si>
  <si>
    <t>5AGR</t>
  </si>
  <si>
    <t>School to Church Road</t>
  </si>
  <si>
    <t>6AGR</t>
  </si>
  <si>
    <t>School to Airport Road</t>
  </si>
  <si>
    <t>7AGR</t>
  </si>
  <si>
    <t>Dock to Elogual Cove Road</t>
  </si>
  <si>
    <t>8AGR</t>
  </si>
  <si>
    <t>School to Rois Road</t>
  </si>
  <si>
    <t>9AGR</t>
  </si>
  <si>
    <t>Coastal Road</t>
  </si>
  <si>
    <t>1AGA</t>
  </si>
  <si>
    <t>Angaur Airstrip</t>
  </si>
  <si>
    <t>Angaur Airport</t>
  </si>
  <si>
    <t>Length of Security fence</t>
  </si>
  <si>
    <t>2ARB</t>
  </si>
  <si>
    <t>KB Bridge</t>
  </si>
  <si>
    <t>Koror and Airai</t>
  </si>
  <si>
    <t>Reinforced concrete &amp; Steel</t>
  </si>
  <si>
    <t>1KRB</t>
  </si>
  <si>
    <t>Minatobashi Bridge</t>
  </si>
  <si>
    <t>Koror-Airai Main Road</t>
  </si>
  <si>
    <t>Malakal Koror</t>
  </si>
  <si>
    <t>Meketii-Malakal Road</t>
  </si>
  <si>
    <t>Retofitting of concrete piers and concrete beams</t>
  </si>
  <si>
    <t>1AKB</t>
  </si>
  <si>
    <t>Imelsubech Bridge</t>
  </si>
  <si>
    <t>2AKB</t>
  </si>
  <si>
    <t>Nekken Bridge 1</t>
  </si>
  <si>
    <t>3AKB</t>
  </si>
  <si>
    <t>Nekken Bridge 2</t>
  </si>
  <si>
    <t>Tabecheding Bridge</t>
  </si>
  <si>
    <t>Koksai-Nekken Road Phase-III</t>
  </si>
  <si>
    <t>1NDB</t>
  </si>
  <si>
    <t>Ngardmau Road Phase-V</t>
  </si>
  <si>
    <t>2NRB</t>
  </si>
  <si>
    <t>Ngchesang Bridge 1</t>
  </si>
  <si>
    <t>Ngchesang, Ngaraard</t>
  </si>
  <si>
    <t>3NRB</t>
  </si>
  <si>
    <t>Ngchesang Bridge 2</t>
  </si>
  <si>
    <t>4NRB</t>
  </si>
  <si>
    <t>Ngkeklau Bridge</t>
  </si>
  <si>
    <t>1NSB</t>
  </si>
  <si>
    <t>Shimizu Bridge</t>
  </si>
  <si>
    <t>2NSB</t>
  </si>
  <si>
    <t>4NLB</t>
  </si>
  <si>
    <t>Singetsu Bridge</t>
  </si>
  <si>
    <t>1NWB</t>
  </si>
  <si>
    <t>PCR Bridge 1 (Ngerikiil)</t>
  </si>
  <si>
    <t>PCR Bridge 2 (River Cruise)</t>
  </si>
  <si>
    <t>PCR Bridge 3</t>
  </si>
  <si>
    <t>3NSB</t>
  </si>
  <si>
    <t>4NSB</t>
  </si>
  <si>
    <t>1MKB</t>
  </si>
  <si>
    <t>PCR Bridge 4</t>
  </si>
  <si>
    <t>PCR Bridge 7 (Urung)</t>
  </si>
  <si>
    <t>PCR Bridge 5 (Imekang)</t>
  </si>
  <si>
    <t>PCR Bridge 6 (Ngermeskang)</t>
  </si>
  <si>
    <t>Ngerulmuul Bridge</t>
  </si>
  <si>
    <t>3ARB</t>
  </si>
  <si>
    <t>Ordomel Bridge</t>
  </si>
  <si>
    <t>Ordomel, Airai</t>
  </si>
  <si>
    <t>Replacement of concrete deck</t>
  </si>
  <si>
    <t>Expansion of the concrete deck and abutment</t>
  </si>
  <si>
    <t>7PLR</t>
  </si>
  <si>
    <t>Museum to Pump Station Road</t>
  </si>
  <si>
    <t>1KYR</t>
  </si>
  <si>
    <t>Kayangel</t>
  </si>
  <si>
    <t>2KYR</t>
  </si>
  <si>
    <t>Kayangel Circumferential Road</t>
  </si>
  <si>
    <t>Kayangel Boulevard</t>
  </si>
  <si>
    <t>3KYR</t>
  </si>
  <si>
    <t>First Street</t>
  </si>
  <si>
    <t>Second Street</t>
  </si>
  <si>
    <t>4KYR</t>
  </si>
  <si>
    <t>5KYR</t>
  </si>
  <si>
    <t>Third Street</t>
  </si>
  <si>
    <t>Fourth Street</t>
  </si>
  <si>
    <t>6KYR</t>
  </si>
  <si>
    <t>7KYR</t>
  </si>
  <si>
    <t>Fifth Street</t>
  </si>
  <si>
    <t>8KYR</t>
  </si>
  <si>
    <t>Sixth Street</t>
  </si>
  <si>
    <t>Part of 1PIA</t>
  </si>
  <si>
    <t>Kayangel Community Health Center</t>
  </si>
  <si>
    <t>Replacement of the waterproofing of the concrete roof</t>
  </si>
  <si>
    <t xml:space="preserve">Reinforced concrete roof with concrete shingles </t>
  </si>
  <si>
    <t>Single storey concrete framed building with concrete masonry wall</t>
  </si>
  <si>
    <t>Single storey concrete framed building with tin roof</t>
  </si>
  <si>
    <t>6MOH</t>
  </si>
  <si>
    <t>Communicable Disease Unit Clinic</t>
  </si>
  <si>
    <t>Single storey steel framed building with tin roof</t>
  </si>
  <si>
    <t>Single storey prefabricated steel framed building with tin roof</t>
  </si>
  <si>
    <t>Sandwich panel</t>
  </si>
  <si>
    <t>7MOH</t>
  </si>
  <si>
    <t>DEH Hazmats Storage Facility</t>
  </si>
  <si>
    <t>Single storey shipping container building with tin roof</t>
  </si>
  <si>
    <t>Shipping container</t>
  </si>
  <si>
    <t xml:space="preserve">Reinforced concrete </t>
  </si>
  <si>
    <t>8MOH</t>
  </si>
  <si>
    <t>DEH Office</t>
  </si>
  <si>
    <t>9MOH</t>
  </si>
  <si>
    <t>Tin roof framed with steel and wooden trusses</t>
  </si>
  <si>
    <t>10MOH</t>
  </si>
  <si>
    <t>11MOH</t>
  </si>
  <si>
    <t>Angaur Community Health Center</t>
  </si>
  <si>
    <t>Ollei Port Breakwater</t>
  </si>
  <si>
    <t>Riprap breakwater</t>
  </si>
  <si>
    <t>1KYP</t>
  </si>
  <si>
    <t>Pier</t>
  </si>
  <si>
    <t>Kayangel Port</t>
  </si>
  <si>
    <t>Melekeok Port</t>
  </si>
  <si>
    <t>1NWP</t>
  </si>
  <si>
    <t>1MKP</t>
  </si>
  <si>
    <t>1AKP</t>
  </si>
  <si>
    <t xml:space="preserve">Repair of riprap seawall </t>
  </si>
  <si>
    <t>Medorm Dock</t>
  </si>
  <si>
    <t>2AKP</t>
  </si>
  <si>
    <t>3AKP</t>
  </si>
  <si>
    <t>1KRP</t>
  </si>
  <si>
    <t>2KRP</t>
  </si>
  <si>
    <t>3KRP</t>
  </si>
  <si>
    <t>4KRP</t>
  </si>
  <si>
    <t>5KRP</t>
  </si>
  <si>
    <t>6KRP</t>
  </si>
  <si>
    <t>7KRP</t>
  </si>
  <si>
    <t>8KRP</t>
  </si>
  <si>
    <t>9KRP</t>
  </si>
  <si>
    <t>10KRP</t>
  </si>
  <si>
    <t>Mecheang, Koror</t>
  </si>
  <si>
    <t>11KRP</t>
  </si>
  <si>
    <t>12KRP</t>
  </si>
  <si>
    <t>Malakal Port</t>
  </si>
  <si>
    <t>1PLP</t>
  </si>
  <si>
    <t>Peleliu Dock</t>
  </si>
  <si>
    <t>1AGP</t>
  </si>
  <si>
    <t>2PLP</t>
  </si>
  <si>
    <t>Kambek Dock</t>
  </si>
  <si>
    <t>Angaur Dock</t>
  </si>
  <si>
    <t>1ARP</t>
  </si>
  <si>
    <t>Uchulangas Dock</t>
  </si>
  <si>
    <t>1NSP</t>
  </si>
  <si>
    <t>Karmaliang Dock</t>
  </si>
  <si>
    <t>2NSP</t>
  </si>
  <si>
    <t>Taberngesang Dock</t>
  </si>
  <si>
    <t>3NSP</t>
  </si>
  <si>
    <t>Ngersuul Dock</t>
  </si>
  <si>
    <t>2MKP</t>
  </si>
  <si>
    <t>Bailechesau Dock</t>
  </si>
  <si>
    <t>Urung Seawall</t>
  </si>
  <si>
    <t>1NRS</t>
  </si>
  <si>
    <t>1NWS</t>
  </si>
  <si>
    <t>Ngermechau Seawall 1</t>
  </si>
  <si>
    <t>2NWS</t>
  </si>
  <si>
    <t>Ngermechau Seawall 2</t>
  </si>
  <si>
    <t>1MKS</t>
  </si>
  <si>
    <t>Bailechesau Seawall</t>
  </si>
  <si>
    <t>1NSS</t>
  </si>
  <si>
    <t>Karmailiang Seawall</t>
  </si>
  <si>
    <t>2NSS</t>
  </si>
  <si>
    <t>Ngersuul Seawall</t>
  </si>
  <si>
    <t>1ARS</t>
  </si>
  <si>
    <t>KB Airai Seawall</t>
  </si>
  <si>
    <t>1KRS</t>
  </si>
  <si>
    <t>KB Koror Seawall</t>
  </si>
  <si>
    <t>2KRS</t>
  </si>
  <si>
    <t>T-Dock Seawall</t>
  </si>
  <si>
    <t>3KRS</t>
  </si>
  <si>
    <t>Icebox Seawall</t>
  </si>
  <si>
    <t>4KRS</t>
  </si>
  <si>
    <t>Scojo Seawall</t>
  </si>
  <si>
    <t>1AGS</t>
  </si>
  <si>
    <t>Angaur Breakwater</t>
  </si>
  <si>
    <t>1900's</t>
  </si>
  <si>
    <t>Repair of riprap seawall</t>
  </si>
  <si>
    <t>1930's</t>
  </si>
  <si>
    <t>Olechong Dock</t>
  </si>
  <si>
    <t>2ARP</t>
  </si>
  <si>
    <t>Oikull, Ngchesar</t>
  </si>
  <si>
    <t>Construction of new boat ramp</t>
  </si>
  <si>
    <t>Dredged coral</t>
  </si>
  <si>
    <t>Marine Law Pier 2</t>
  </si>
  <si>
    <t>Marine Law Pier 1</t>
  </si>
  <si>
    <t>Construction of new concrete seawall</t>
  </si>
  <si>
    <t>Concrete breakwater</t>
  </si>
  <si>
    <t>Riprap seawall</t>
  </si>
  <si>
    <t>5KRS</t>
  </si>
  <si>
    <t>BMR Seawall</t>
  </si>
  <si>
    <t>Concrete seawall</t>
  </si>
  <si>
    <t>13KRP</t>
  </si>
  <si>
    <t>Fisheries Dock</t>
  </si>
  <si>
    <t>Grouting of riprap</t>
  </si>
  <si>
    <t>1NRP</t>
  </si>
  <si>
    <t>2NRP</t>
  </si>
  <si>
    <t>Urung Dock 2</t>
  </si>
  <si>
    <t>Urung Dock 1</t>
  </si>
  <si>
    <t>3NRP</t>
  </si>
  <si>
    <t>Yasumba Dock</t>
  </si>
  <si>
    <t>Dregded coral</t>
  </si>
  <si>
    <t>Ngiwal State Office</t>
  </si>
  <si>
    <t>Ngiwal State Government</t>
  </si>
  <si>
    <t xml:space="preserve">Bai ra Ibtaches </t>
  </si>
  <si>
    <t>Labek Center</t>
  </si>
  <si>
    <t>Judiciary Building</t>
  </si>
  <si>
    <t>Judiciary Branch</t>
  </si>
  <si>
    <t>Ngerulmud, Melekeok</t>
  </si>
  <si>
    <t>Three storey concrete framed building with masonry wall and tin roofing</t>
  </si>
  <si>
    <t>OEK Building</t>
  </si>
  <si>
    <t>Legislative Branch</t>
  </si>
  <si>
    <t>Executive Building</t>
  </si>
  <si>
    <t>Executive Branch</t>
  </si>
  <si>
    <t>Single-storey steel framed building with metal roofing</t>
  </si>
  <si>
    <t>Palau High School (Science Building)</t>
  </si>
  <si>
    <t>Concrete Masonry</t>
  </si>
  <si>
    <t>Palau High School (Language Building)</t>
  </si>
  <si>
    <t>Two storey concrete framed building with concrete wall and tin roofing</t>
  </si>
  <si>
    <t>Components Refurbished: Caught fire and immediate interior renovation occurred</t>
  </si>
  <si>
    <t>Palau High School (Stedent Teacher Center Building)</t>
  </si>
  <si>
    <t>Palau High School (Math Lab Building)</t>
  </si>
  <si>
    <t>Single storey concrete framed building with  wooden wall and tin roofing</t>
  </si>
  <si>
    <t>Palau High School ( Math Building)</t>
  </si>
  <si>
    <t>Components Refurbished: Interior and exterior wall and ceiling painting</t>
  </si>
  <si>
    <t>Palau High School ( Health &amp; Tourism Building)</t>
  </si>
  <si>
    <t>Palau High School ( PE-SPED Building)</t>
  </si>
  <si>
    <t>Palau High School ( Social Building)</t>
  </si>
  <si>
    <t>Palau High School ( Open Stage Building)</t>
  </si>
  <si>
    <t>Single storey concrete framed building with concrete wall and tin roofing</t>
  </si>
  <si>
    <t>Palau High School ( Student Resource Building)</t>
  </si>
  <si>
    <t>Components Refurbished: Roof replacement</t>
  </si>
  <si>
    <t>Palau High School ( Mechanic Building)</t>
  </si>
  <si>
    <t>Palau High School ( Construction Building)</t>
  </si>
  <si>
    <t>Palau High School (Spider's Gym Building)</t>
  </si>
  <si>
    <t>Palau High School ( Multi-Purpose Building)</t>
  </si>
  <si>
    <t>Components Refurbished: Full renovation</t>
  </si>
  <si>
    <t>Palau High School ( Main Office Building)</t>
  </si>
  <si>
    <t>Palau High School ( Old Office Building)</t>
  </si>
  <si>
    <t>Palau High School (Health&amp; Science Storage Building)</t>
  </si>
  <si>
    <t>Ministry of Education ( Main Office)</t>
  </si>
  <si>
    <t>Ministry of Education ( Public Library)</t>
  </si>
  <si>
    <t>Single-storey concrete framed building with concrete roof deck</t>
  </si>
  <si>
    <t>Reinforced concrete with carpet</t>
  </si>
  <si>
    <t>Ministry of Education ( Maintenance &amp; Transportation)</t>
  </si>
  <si>
    <t>Single-Storey wooden frame with wodden walls and wodden truss and tin roofing</t>
  </si>
  <si>
    <t>Ministry of Education ( Food Service Storage)</t>
  </si>
  <si>
    <t>Ministry of Education ( Transportation Storage)</t>
  </si>
  <si>
    <t>Angaur Elementary School (Classroom)</t>
  </si>
  <si>
    <t>Components Refurbished: Full repair except tin roof replacement</t>
  </si>
  <si>
    <t>Angaur Elementary School (Classroom/Library/Lab/Office/Kitchen)</t>
  </si>
  <si>
    <t>Angaur Elementary School (Head Start)</t>
  </si>
  <si>
    <t>Pelelliu Elementary Shool (Office/1st-5th Grade Classroom)</t>
  </si>
  <si>
    <t>Pelelliu</t>
  </si>
  <si>
    <t>Pelelliu Elementary Shool (6th-8th Grade Classroom/Kitchen/ Cafeteria/Library/SPED/PE)</t>
  </si>
  <si>
    <t>Hatohobei Elementary School</t>
  </si>
  <si>
    <t>Hatohobei</t>
  </si>
  <si>
    <t>Components Refurbished: Raising roof and install vinyl tile</t>
  </si>
  <si>
    <t>Pulo Anna</t>
  </si>
  <si>
    <t>Sonsorol Elementary School</t>
  </si>
  <si>
    <t>Sonsorol</t>
  </si>
  <si>
    <t>Meyuns Elementary School (Office-CompLab-SPED)</t>
  </si>
  <si>
    <t>Meyuns Elementary School (Cafiteria)</t>
  </si>
  <si>
    <t>Meyuns Elementary School (Classroom A)</t>
  </si>
  <si>
    <t>Meyuns Elementary School (Classroom B)</t>
  </si>
  <si>
    <t>Meyuns Elementary School (PE-Nursing)</t>
  </si>
  <si>
    <t>49MOE</t>
  </si>
  <si>
    <t>50MOE</t>
  </si>
  <si>
    <t>51MOE</t>
  </si>
  <si>
    <t>52MOE</t>
  </si>
  <si>
    <t>53MOE</t>
  </si>
  <si>
    <t>54MOE</t>
  </si>
  <si>
    <t>55MOE</t>
  </si>
  <si>
    <t>56MOE</t>
  </si>
  <si>
    <t>57MOE</t>
  </si>
  <si>
    <t>58MOE</t>
  </si>
  <si>
    <t>59MOE</t>
  </si>
  <si>
    <t>60MOE</t>
  </si>
  <si>
    <t>61MOE</t>
  </si>
  <si>
    <t>62MOE</t>
  </si>
  <si>
    <t>63MOE</t>
  </si>
  <si>
    <t>64MOE</t>
  </si>
  <si>
    <t>65MOE</t>
  </si>
  <si>
    <t>66MOE</t>
  </si>
  <si>
    <t>67MOE</t>
  </si>
  <si>
    <t>68MOE</t>
  </si>
  <si>
    <t>69MOE</t>
  </si>
  <si>
    <t>70MOE</t>
  </si>
  <si>
    <t>71MOE</t>
  </si>
  <si>
    <t>72MOE</t>
  </si>
  <si>
    <t>73MOE</t>
  </si>
  <si>
    <t>74MOE</t>
  </si>
  <si>
    <t>75MOE</t>
  </si>
  <si>
    <t>76MOE</t>
  </si>
  <si>
    <t>77MOE</t>
  </si>
  <si>
    <t>78MOE</t>
  </si>
  <si>
    <t>79MOE</t>
  </si>
  <si>
    <t>80MOE</t>
  </si>
  <si>
    <t>3NWS</t>
  </si>
  <si>
    <t>4NWS</t>
  </si>
  <si>
    <t>Imekang Dock Waiting House</t>
  </si>
  <si>
    <t>1PNC</t>
  </si>
  <si>
    <t>2PNC</t>
  </si>
  <si>
    <t>3PNC</t>
  </si>
  <si>
    <t>4PNC</t>
  </si>
  <si>
    <t>Generator Building</t>
  </si>
  <si>
    <t>5PNC</t>
  </si>
  <si>
    <t>President's Office</t>
  </si>
  <si>
    <t>Three storey concrete framed building with masonry wall and concrete roofing</t>
  </si>
  <si>
    <t>11MOJ</t>
  </si>
  <si>
    <t>1MPIIC</t>
  </si>
  <si>
    <t>2MPIIC</t>
  </si>
  <si>
    <t>3MPIIC</t>
  </si>
  <si>
    <t>4MPIIC</t>
  </si>
  <si>
    <t>5MPIIC</t>
  </si>
  <si>
    <t>6MPIIC</t>
  </si>
  <si>
    <t>7MPIIC</t>
  </si>
  <si>
    <t>8MPIIC</t>
  </si>
  <si>
    <t>9MPIIC</t>
  </si>
  <si>
    <t>10MPIIC</t>
  </si>
  <si>
    <t>Replacement of floor tiles and doors, and repainting</t>
  </si>
  <si>
    <t>Concrete masonry and metal cladding</t>
  </si>
  <si>
    <t>Tin roof framed framed with steel sections</t>
  </si>
  <si>
    <t>Bureau of Public Safety</t>
  </si>
  <si>
    <t>Single-storey Steel Frame with cement board and concrete roofing</t>
  </si>
  <si>
    <t>Single-storey Steel Frame with tin wall anf tin roofing</t>
  </si>
  <si>
    <t>Three-storey Steel Frame with cement board and concrete roofing</t>
  </si>
  <si>
    <t>Two-storey concrete framed building with masonry wall and tin roofing</t>
  </si>
  <si>
    <t>1MNRET</t>
  </si>
  <si>
    <t>MNRET</t>
  </si>
  <si>
    <t>Olsirsked, Ngchesar</t>
  </si>
  <si>
    <t>Single storey metal framed building with tin roofing</t>
  </si>
  <si>
    <t>Steel frame with metal cladding</t>
  </si>
  <si>
    <t>Metal roofing framed with steel sections</t>
  </si>
  <si>
    <t>BOA Pig Slaughter House Building</t>
  </si>
  <si>
    <t>ADSC Nursery Building</t>
  </si>
  <si>
    <t>2MNRET</t>
  </si>
  <si>
    <t>3MNRET</t>
  </si>
  <si>
    <t>Construction of office space, and replacement of wall cladding and roofing</t>
  </si>
  <si>
    <t>Metal roofing framed with wooden trusses</t>
  </si>
  <si>
    <t>4MNRET</t>
  </si>
  <si>
    <t>BOA Pig Breed Facility Building</t>
  </si>
  <si>
    <t>BOA Nekken Forestry Nursery Building</t>
  </si>
  <si>
    <t>5MNRET</t>
  </si>
  <si>
    <t>BOA Feedmill Warehouse Building</t>
  </si>
  <si>
    <t>6MNRET</t>
  </si>
  <si>
    <t>BOA Nekken Main Office Building</t>
  </si>
  <si>
    <t>7MNRET</t>
  </si>
  <si>
    <t>Bureau of Marine Resource Office Building</t>
  </si>
  <si>
    <t>Replacement of roofing, ceiling and floor tiles</t>
  </si>
  <si>
    <t>8MNRET</t>
  </si>
  <si>
    <t>BMR Workshop Facility Building</t>
  </si>
  <si>
    <t>Replacement of roofing, windows and gate</t>
  </si>
  <si>
    <t>Plastic roofing framed with wooden trusses</t>
  </si>
  <si>
    <t>9MNRET</t>
  </si>
  <si>
    <t>10MNRET</t>
  </si>
  <si>
    <t>Single storey concrete framed building and tin roofing</t>
  </si>
  <si>
    <t>Metal roofing framed with wooden rafters</t>
  </si>
  <si>
    <t>11MNRET</t>
  </si>
  <si>
    <t>Palau Mariculture Demonstration Center Building</t>
  </si>
  <si>
    <t>Palau National Mariculture Center Building</t>
  </si>
  <si>
    <t>Two-storey concrete framed building and concrete deck roof</t>
  </si>
  <si>
    <t>Half concrete masonry half wooden</t>
  </si>
  <si>
    <t>12MNRET</t>
  </si>
  <si>
    <t>Palau National Aquaculture Center Building 1</t>
  </si>
  <si>
    <t>Palau National Aquaculture Center Building 2</t>
  </si>
  <si>
    <t>1JBS</t>
  </si>
  <si>
    <t>Judiciary</t>
  </si>
  <si>
    <t>Pablo Ringang Office Building</t>
  </si>
  <si>
    <t>2JBS</t>
  </si>
  <si>
    <t>Mamoru Nakamura Office Building</t>
  </si>
  <si>
    <t>3JBS</t>
  </si>
  <si>
    <t>Supreme Court Building</t>
  </si>
  <si>
    <t>Renovation of the basement</t>
  </si>
  <si>
    <t>Concrete roof deck and metal roofing framed with wooden trusses</t>
  </si>
  <si>
    <t>Metal and plastic roofing framed with wooden trusses</t>
  </si>
  <si>
    <t>Urung Dock Building</t>
  </si>
  <si>
    <t>Ngaraard State Government</t>
  </si>
  <si>
    <t>Reinforce concrete</t>
  </si>
  <si>
    <t>Tin roof with wooden trusses</t>
  </si>
  <si>
    <t>Ngaraard State Office</t>
  </si>
  <si>
    <t>Tin roof with steel frame truss</t>
  </si>
  <si>
    <t>Bai Ra Klebeiang</t>
  </si>
  <si>
    <t>Bai Ra Klebeiang Kitchen</t>
  </si>
  <si>
    <t>Bai Ra Choll</t>
  </si>
  <si>
    <t>Choll, Ngaraard</t>
  </si>
  <si>
    <t>Bai Ra Btong</t>
  </si>
  <si>
    <t>Ngardmau Bai/ State Office</t>
  </si>
  <si>
    <t>Ngardmau State Government</t>
  </si>
  <si>
    <t>Ngerutoi, Ngardmau</t>
  </si>
  <si>
    <t>Isolated concrete</t>
  </si>
  <si>
    <t>Ngardmau Waiting House</t>
  </si>
  <si>
    <t>Ministry of Finance</t>
  </si>
  <si>
    <t>Ngesekes, Ngerbeched Koror</t>
  </si>
  <si>
    <t>N / A</t>
  </si>
  <si>
    <t>General Painting works</t>
  </si>
  <si>
    <t>MCCA Archives &amp; Research</t>
  </si>
  <si>
    <t>MCCA</t>
  </si>
  <si>
    <t>Melkeok</t>
  </si>
  <si>
    <t>2NRS</t>
  </si>
  <si>
    <t>4NRS</t>
  </si>
  <si>
    <t>5NRS</t>
  </si>
  <si>
    <t>6NRS</t>
  </si>
  <si>
    <t>7NRS</t>
  </si>
  <si>
    <t>3NRS</t>
  </si>
  <si>
    <t>1NDS</t>
  </si>
  <si>
    <t>2NDS</t>
  </si>
  <si>
    <t>3NDS</t>
  </si>
  <si>
    <t>4NDS</t>
  </si>
  <si>
    <t>Ngardmau State Office</t>
  </si>
  <si>
    <t>Old President's Office</t>
  </si>
  <si>
    <t>Health Care Fund Office</t>
  </si>
  <si>
    <t>Palaris / Pension Plan Office</t>
  </si>
  <si>
    <t>MOF Temprory Office</t>
  </si>
  <si>
    <t>Replacement of thactch roof and wooden floor panel</t>
  </si>
  <si>
    <t>Local wood panel</t>
  </si>
  <si>
    <t>Thatch roof</t>
  </si>
  <si>
    <t>Reinforced concrete with ceramic tile</t>
  </si>
  <si>
    <t>Single storey concrete framed building with tin roofing</t>
  </si>
  <si>
    <t>Single storey wooden structure</t>
  </si>
  <si>
    <t>Ngaraard State Office BPW Office</t>
  </si>
  <si>
    <t>Single storey steel framed building with tin roofing</t>
  </si>
  <si>
    <t>Concrete and timber</t>
  </si>
  <si>
    <t>Single storey concrete framed building with concrete roofing</t>
  </si>
  <si>
    <t>1MOF</t>
  </si>
  <si>
    <t>2MOF</t>
  </si>
  <si>
    <t>T8AA Radio Station</t>
  </si>
  <si>
    <t>Ministry of State</t>
  </si>
  <si>
    <t>Replacement of roofing, tiles and ceiling</t>
  </si>
  <si>
    <t>Single storey prefabricated steel building</t>
  </si>
  <si>
    <t>Two-storey concrete framed building and concrete roof deck</t>
  </si>
  <si>
    <t>1OGS</t>
  </si>
  <si>
    <t>2OGS</t>
  </si>
  <si>
    <t>3OGS</t>
  </si>
  <si>
    <t>4OGS</t>
  </si>
  <si>
    <t>5OGS</t>
  </si>
  <si>
    <t>Palau Housing Authority Office</t>
  </si>
  <si>
    <t>Two-storey prefabricated steel building</t>
  </si>
  <si>
    <t>Total</t>
  </si>
  <si>
    <t>Base</t>
  </si>
  <si>
    <t>Surface</t>
  </si>
  <si>
    <t>Curb</t>
  </si>
  <si>
    <t>Foot path</t>
  </si>
  <si>
    <t>1KYS</t>
  </si>
  <si>
    <t>Kayangel Port Ice Machine Building</t>
  </si>
  <si>
    <t>Kayangel State Government</t>
  </si>
  <si>
    <t>Single-storey concrete framed building with masonry wall and concrete roofing</t>
  </si>
  <si>
    <t>2KYS</t>
  </si>
  <si>
    <t>Kayangel Old Age Center</t>
  </si>
  <si>
    <t>3KYS</t>
  </si>
  <si>
    <t>Kayangel Community Center</t>
  </si>
  <si>
    <t>Installation of new roofing</t>
  </si>
  <si>
    <t>4KYS</t>
  </si>
  <si>
    <t>Kayangel State Office</t>
  </si>
  <si>
    <t>3ARP</t>
  </si>
  <si>
    <t>Bai ru Luong Dock</t>
  </si>
  <si>
    <t>Ngeruluobel, Airai</t>
  </si>
  <si>
    <t>Sports Facility</t>
  </si>
  <si>
    <t xml:space="preserve">GPS </t>
  </si>
  <si>
    <t>Year of Refurbishment</t>
  </si>
  <si>
    <t>Component Refurbished</t>
  </si>
  <si>
    <t>Area</t>
  </si>
  <si>
    <t>Details</t>
  </si>
  <si>
    <t>Length of perimeter fence</t>
  </si>
  <si>
    <t>Height of perimeter fence</t>
  </si>
  <si>
    <t>Turf and Field</t>
  </si>
  <si>
    <t xml:space="preserve">Floor or Track Surface </t>
  </si>
  <si>
    <t>Lighting System</t>
  </si>
  <si>
    <t>Perimeter fence</t>
  </si>
  <si>
    <t>1PNOC</t>
  </si>
  <si>
    <t>Asahi Baseball Field</t>
  </si>
  <si>
    <t>Outdoor baseball field</t>
  </si>
  <si>
    <t>2PNOC</t>
  </si>
  <si>
    <t>Palau Track and Field</t>
  </si>
  <si>
    <t>Replacement of rubber track surface</t>
  </si>
  <si>
    <t>6-lane rubber surface track</t>
  </si>
  <si>
    <t>3PNOC</t>
  </si>
  <si>
    <t>Meyuns Softball Field</t>
  </si>
  <si>
    <t>Replacement of lighting fixtures</t>
  </si>
  <si>
    <t>Outdoor softball field</t>
  </si>
  <si>
    <t>4PNOC</t>
  </si>
  <si>
    <t>Meyuns PNOC Pool</t>
  </si>
  <si>
    <t>Swimming facility with a 6-lane pool</t>
  </si>
  <si>
    <t>5PNOC</t>
  </si>
  <si>
    <t>Airai Tennis Court</t>
  </si>
  <si>
    <t>Twin outdoor tennis  hard court</t>
  </si>
  <si>
    <t>6PNOC</t>
  </si>
  <si>
    <t>Yelch Softball Field</t>
  </si>
  <si>
    <t>7PNOC</t>
  </si>
  <si>
    <t>Ngeremlengui Baseball Field</t>
  </si>
  <si>
    <t>Playground Amenities</t>
  </si>
  <si>
    <t>Support Amenities</t>
  </si>
  <si>
    <t>1PGA</t>
  </si>
  <si>
    <t>Ngerbau Park</t>
  </si>
  <si>
    <t>Ngerbau, Ngerchelong</t>
  </si>
  <si>
    <t>Outdoor playground and park</t>
  </si>
  <si>
    <t>Prefabricated slide and swing sets</t>
  </si>
  <si>
    <t>Wooden summerhouses and wooden boardwalk</t>
  </si>
  <si>
    <t>2PGA</t>
  </si>
  <si>
    <t>Kuabes Park</t>
  </si>
  <si>
    <t>Concrete summerhouses and restroom</t>
  </si>
  <si>
    <t>3PGA</t>
  </si>
  <si>
    <t>Taberngesang Park</t>
  </si>
  <si>
    <t>4PGA</t>
  </si>
  <si>
    <t>Airai Park (KB Bridge)</t>
  </si>
  <si>
    <t>Concrete summerhouses and restroom, and water slide</t>
  </si>
  <si>
    <t>5PGA</t>
  </si>
  <si>
    <t>Koror Park (KB Bridge)</t>
  </si>
  <si>
    <t>Ngesaol, Koror</t>
  </si>
  <si>
    <t>1AKS</t>
  </si>
  <si>
    <t>Kamosang Seawall</t>
  </si>
  <si>
    <t>Aimeliik</t>
  </si>
  <si>
    <t>2AKS</t>
  </si>
  <si>
    <t>Ngchemiangel Seawall</t>
  </si>
  <si>
    <t>Ordomel Seawall</t>
  </si>
  <si>
    <t>2ARS</t>
  </si>
  <si>
    <t>BNH Seawall</t>
  </si>
  <si>
    <t>6KRS</t>
  </si>
  <si>
    <t>1SWM</t>
  </si>
  <si>
    <t>National Landfill Facility</t>
  </si>
  <si>
    <t>Imul, Aimeliik</t>
  </si>
  <si>
    <t>2SWM</t>
  </si>
  <si>
    <t>M-Dock Landfill Facility</t>
  </si>
  <si>
    <t>3NLC</t>
  </si>
  <si>
    <t>NL-DL-1</t>
  </si>
  <si>
    <t>(Package-C) Compact Road - West Route</t>
  </si>
  <si>
    <t xml:space="preserve"> Ngeremlengui</t>
  </si>
  <si>
    <t>2000s</t>
  </si>
  <si>
    <t>RCP single culvert</t>
  </si>
  <si>
    <t>4NLC</t>
  </si>
  <si>
    <t>NL-DL-2</t>
  </si>
  <si>
    <t>concrete culvert</t>
  </si>
  <si>
    <t>5NLC</t>
  </si>
  <si>
    <t>NL-DL-3</t>
  </si>
  <si>
    <t>Ngebuked Road</t>
  </si>
  <si>
    <t>8NRC</t>
  </si>
  <si>
    <t>NR-DL-1</t>
  </si>
  <si>
    <t>?</t>
  </si>
  <si>
    <t>1AKC</t>
  </si>
  <si>
    <t>AK-DL-1</t>
  </si>
  <si>
    <t>(Package-A) Compact Road - West Route</t>
  </si>
  <si>
    <t>Tebadel, Aimeliik</t>
  </si>
  <si>
    <t>Double Reinforced concrete</t>
  </si>
  <si>
    <t>2AKC</t>
  </si>
  <si>
    <t>AK-DL-2</t>
  </si>
  <si>
    <t>Ngerderar, Aimeliik</t>
  </si>
  <si>
    <t>Rectangular</t>
  </si>
  <si>
    <t>3AKC</t>
  </si>
  <si>
    <t>AK-DL-3</t>
  </si>
  <si>
    <t>RCP Single Culvert</t>
  </si>
  <si>
    <t>4AKC</t>
  </si>
  <si>
    <t>AK-DL-4</t>
  </si>
  <si>
    <t xml:space="preserve"> Aimeliik</t>
  </si>
  <si>
    <t>5AKC</t>
  </si>
  <si>
    <t>AK-DL-5</t>
  </si>
  <si>
    <t>RCP Double Culvert</t>
  </si>
  <si>
    <t>6AKC</t>
  </si>
  <si>
    <t>AK-DL-6</t>
  </si>
  <si>
    <t>7AKC</t>
  </si>
  <si>
    <t>AK-DL-7</t>
  </si>
  <si>
    <t>8AKC</t>
  </si>
  <si>
    <t>AK-DL-8</t>
  </si>
  <si>
    <t>9AKC</t>
  </si>
  <si>
    <t>AK-DL-9</t>
  </si>
  <si>
    <t>10AKC</t>
  </si>
  <si>
    <t>AK-DL-10</t>
  </si>
  <si>
    <t>11AKC</t>
  </si>
  <si>
    <t>AK-DL-11</t>
  </si>
  <si>
    <t>12AKC</t>
  </si>
  <si>
    <t>AK-DL-12</t>
  </si>
  <si>
    <t>13AKC</t>
  </si>
  <si>
    <t>AK-DL-13</t>
  </si>
  <si>
    <t>14AKC</t>
  </si>
  <si>
    <t>AK-DL-14</t>
  </si>
  <si>
    <t>Ngchemiangel Road</t>
  </si>
  <si>
    <t xml:space="preserve"> Ngchemiangel, Aimeliik</t>
  </si>
  <si>
    <t>1980s</t>
  </si>
  <si>
    <t>15AKC</t>
  </si>
  <si>
    <t>AK-DL-15</t>
  </si>
  <si>
    <t>? H-Beam Stand</t>
  </si>
  <si>
    <t>16AKC</t>
  </si>
  <si>
    <t>1NTC</t>
  </si>
  <si>
    <t>NT-DL-1</t>
  </si>
  <si>
    <t>Ngatpang (Surangel Farm)</t>
  </si>
  <si>
    <t>2NTC</t>
  </si>
  <si>
    <t>NT-DL-2</t>
  </si>
  <si>
    <t>Ngelotechel, Ngatpang</t>
  </si>
  <si>
    <t>3NTC</t>
  </si>
  <si>
    <t>NT-DL-3</t>
  </si>
  <si>
    <t xml:space="preserve"> Ngatpang</t>
  </si>
  <si>
    <t>1NDC</t>
  </si>
  <si>
    <t>ND-DL-1</t>
  </si>
  <si>
    <t xml:space="preserve"> Ngardmau (Waterfall -Area)</t>
  </si>
  <si>
    <t>2NDC</t>
  </si>
  <si>
    <t>ND-DL-2</t>
  </si>
  <si>
    <t>3NDC</t>
  </si>
  <si>
    <t>ND-DL-3</t>
  </si>
  <si>
    <t>Ollei Port Waiting House</t>
  </si>
  <si>
    <t>Elab Abai/Community Center</t>
  </si>
  <si>
    <t>Two-storey steel framed building with tin roofing</t>
  </si>
  <si>
    <t>8NRS</t>
  </si>
  <si>
    <t>9NRS</t>
  </si>
  <si>
    <t>Bai ra Tuich</t>
  </si>
  <si>
    <t>Ngardmau OSCA Office</t>
  </si>
  <si>
    <t>Melekeok State Government Office</t>
  </si>
  <si>
    <t>Melekeok State Government</t>
  </si>
  <si>
    <t>Ngerang, Melekeok</t>
  </si>
  <si>
    <t>2MKS</t>
  </si>
  <si>
    <t>Bai ra Ngerubesang</t>
  </si>
  <si>
    <t>3MKS</t>
  </si>
  <si>
    <t>Melekeok Old Age Center</t>
  </si>
  <si>
    <t>Ngchesar State Office</t>
  </si>
  <si>
    <t>Ngchesar State Government</t>
  </si>
  <si>
    <t>Bai ra Oldiang</t>
  </si>
  <si>
    <t>Tin roof framed with metal trusses</t>
  </si>
  <si>
    <t>3NSS</t>
  </si>
  <si>
    <t>Bai ra Mecheuang</t>
  </si>
  <si>
    <t>4NSS</t>
  </si>
  <si>
    <t>Bai ra Ngersuul</t>
  </si>
  <si>
    <t>Single storey wooden framed building with wooden wall and tin roofing</t>
  </si>
  <si>
    <t>5NSS</t>
  </si>
  <si>
    <t>Bai ra Ngeraos</t>
  </si>
  <si>
    <t>Ongesang Abai</t>
  </si>
  <si>
    <t>Replacement of the wooden wall panel and roofing</t>
  </si>
  <si>
    <t>Ongesang Abai Kitchen</t>
  </si>
  <si>
    <t>LRO Office</t>
  </si>
  <si>
    <t>1NTS</t>
  </si>
  <si>
    <t>Ibobang Waiting House</t>
  </si>
  <si>
    <t>Ngatpang State Government</t>
  </si>
  <si>
    <t>2NTS</t>
  </si>
  <si>
    <t>Ibobang Bai</t>
  </si>
  <si>
    <t>3NTS</t>
  </si>
  <si>
    <t>Ngatpang State Government Office</t>
  </si>
  <si>
    <t>4NTS</t>
  </si>
  <si>
    <t>Kamesang Dock Office</t>
  </si>
  <si>
    <t>5NTS</t>
  </si>
  <si>
    <t>Bai ra Brekong</t>
  </si>
  <si>
    <t>Aimeliik State Government Office</t>
  </si>
  <si>
    <t>Aimeliik State Government</t>
  </si>
  <si>
    <t>Ngerkeai Tourist Center</t>
  </si>
  <si>
    <t>Ngerkeai, Aimeliik</t>
  </si>
  <si>
    <t>3AKS</t>
  </si>
  <si>
    <t>Ngaratulau Bai</t>
  </si>
  <si>
    <t>4AKS</t>
  </si>
  <si>
    <t>Medorm Bai</t>
  </si>
  <si>
    <t>5AKS</t>
  </si>
  <si>
    <t>Kamosang Waiting House</t>
  </si>
  <si>
    <t>6AKS</t>
  </si>
  <si>
    <t>Aimeliik Community Center</t>
  </si>
  <si>
    <t>7AKS</t>
  </si>
  <si>
    <t>Bai ra Isau</t>
  </si>
  <si>
    <t>8AKS</t>
  </si>
  <si>
    <t>Bai ra Isau Kitchen</t>
  </si>
  <si>
    <t>Ked Community Center</t>
  </si>
  <si>
    <t>Airai State Government</t>
  </si>
  <si>
    <t>Oikuul Community Center</t>
  </si>
  <si>
    <t>Oikuul, Airai</t>
  </si>
  <si>
    <t>Single storey concrete framed open-type building with tin roofing</t>
  </si>
  <si>
    <t>3ARS</t>
  </si>
  <si>
    <t>Obraod Community Center</t>
  </si>
  <si>
    <t>4ARS</t>
  </si>
  <si>
    <t>Airai State Government Office</t>
  </si>
  <si>
    <t>Two-storey concrete framed building with concrete roofing</t>
  </si>
  <si>
    <t>General repair and repainting</t>
  </si>
  <si>
    <t>5ARS</t>
  </si>
  <si>
    <t>Bai ra Ngerusar</t>
  </si>
  <si>
    <t>6ARS</t>
  </si>
  <si>
    <t>Bai ru Luong</t>
  </si>
  <si>
    <t xml:space="preserve">                                                                        </t>
  </si>
  <si>
    <t>7ARS</t>
  </si>
  <si>
    <t>Uchulangas</t>
  </si>
  <si>
    <t>1PLS</t>
  </si>
  <si>
    <t>Peleliu Dock Wating House</t>
  </si>
  <si>
    <t>Peleliu State Government</t>
  </si>
  <si>
    <t>2PLS</t>
  </si>
  <si>
    <t>Peleliu State Office</t>
  </si>
  <si>
    <t>3PLS</t>
  </si>
  <si>
    <t>Peleliu Old Age Center</t>
  </si>
  <si>
    <t>4PLS</t>
  </si>
  <si>
    <t>Peleliu Youth Center</t>
  </si>
  <si>
    <t>5PLS</t>
  </si>
  <si>
    <t>WWII Memorial Museum</t>
  </si>
  <si>
    <t>Kambek, Peleliu</t>
  </si>
  <si>
    <t>Single storey concrete building with concrete roof deck</t>
  </si>
  <si>
    <t>Cast-in-place concrete</t>
  </si>
  <si>
    <t>6PLS</t>
  </si>
  <si>
    <t>PIF Retreat Venue</t>
  </si>
  <si>
    <t>Ficem board framed with lumber</t>
  </si>
  <si>
    <t>Painted plywood framed with lumber</t>
  </si>
  <si>
    <t>Angaur Wating House/Ice Machine Building</t>
  </si>
  <si>
    <t>Angaur State Government</t>
  </si>
  <si>
    <t xml:space="preserve">Single storey concrete building with concrete roof </t>
  </si>
  <si>
    <t>Concrete roof</t>
  </si>
  <si>
    <t>2AGS</t>
  </si>
  <si>
    <t>Angaur State Office</t>
  </si>
  <si>
    <t>3AGS</t>
  </si>
  <si>
    <t>Angaur Old Age Center</t>
  </si>
  <si>
    <t>4AGS</t>
  </si>
  <si>
    <t>Angaur Community Center</t>
  </si>
  <si>
    <t>National Landfill Main Office Building</t>
  </si>
  <si>
    <t>Reinforced concrete painted with epoxy</t>
  </si>
  <si>
    <t>National Landfill Shed</t>
  </si>
  <si>
    <t xml:space="preserve">Bureau of Public Works Office </t>
  </si>
  <si>
    <t>Bureau of Public Works  Warehouse</t>
  </si>
  <si>
    <t>11MPIIC</t>
  </si>
  <si>
    <t>Tire Shredding Facility Building</t>
  </si>
  <si>
    <t>12MPIIC</t>
  </si>
  <si>
    <t>Bureau of Land and Survey Office</t>
  </si>
  <si>
    <t>Northern Community Health Center</t>
  </si>
  <si>
    <t>Western Community Health Center</t>
  </si>
  <si>
    <t>Eastern Community Health Center</t>
  </si>
  <si>
    <t>Central Community Health Center</t>
  </si>
  <si>
    <t>Southern Community Health Center</t>
  </si>
  <si>
    <t>Ngerchol, Peleliu</t>
  </si>
  <si>
    <t>12MOH</t>
  </si>
  <si>
    <t>Goerge B. Harris Elementary School Gymnasium</t>
  </si>
  <si>
    <t>Single storey open-type concrete framed building with tin roofing</t>
  </si>
  <si>
    <t>Pulo Anna Elementary School</t>
  </si>
  <si>
    <t>Department of Correction</t>
  </si>
  <si>
    <t>13MNRET</t>
  </si>
  <si>
    <t>Airai Rabbit Fish Hatchery</t>
  </si>
  <si>
    <t>1MCCA</t>
  </si>
  <si>
    <t>2MCCA</t>
  </si>
  <si>
    <t>Old Age Center</t>
  </si>
  <si>
    <t>Replacement of roofing and ceiling, and repainting</t>
  </si>
  <si>
    <t>0.9m high concrete masonry</t>
  </si>
  <si>
    <t>Reinforced concrete with non-skid paint</t>
  </si>
  <si>
    <t>3MCCA</t>
  </si>
  <si>
    <t>Old Age Center Office</t>
  </si>
  <si>
    <t>Replacement of roofing, wall and ceiling, and repainting</t>
  </si>
  <si>
    <t>4MCCA</t>
  </si>
  <si>
    <t>Palau Civic Center</t>
  </si>
  <si>
    <t>Replacement of ceiling and lighting fixtures</t>
  </si>
  <si>
    <t>5MCCA</t>
  </si>
  <si>
    <t>Ernguul Park Main Hut</t>
  </si>
  <si>
    <t>Single storey wooden framed building with thatch roofing</t>
  </si>
  <si>
    <t>Concrete pedestal</t>
  </si>
  <si>
    <t>Local lumber</t>
  </si>
  <si>
    <t>Thatch roof panel framed with lumber</t>
  </si>
  <si>
    <t>6MCCA</t>
  </si>
  <si>
    <t>Asahi Baseball Field Stadium</t>
  </si>
  <si>
    <t>7MCCA</t>
  </si>
  <si>
    <t>Palau Track and Field Stadium</t>
  </si>
  <si>
    <t>Single storey open-type steel framed building with tin roofing</t>
  </si>
  <si>
    <t>8MCCA</t>
  </si>
  <si>
    <t>Yelch Baseball Field Stadium</t>
  </si>
  <si>
    <t>Single storey open-type wooden framed building with tin roofing</t>
  </si>
  <si>
    <t>Lumber</t>
  </si>
  <si>
    <t>Metal roofing framed with wooden rafter</t>
  </si>
  <si>
    <t>9MCCA</t>
  </si>
  <si>
    <t>Belau National Museum 1</t>
  </si>
  <si>
    <t>10MCCA</t>
  </si>
  <si>
    <t>Belau National Museum 2</t>
  </si>
  <si>
    <t>Palau Housing Authority</t>
  </si>
  <si>
    <t>Echang Basketball Gym</t>
  </si>
  <si>
    <t>Sonsorol and Hatohobei States</t>
  </si>
  <si>
    <t>Echang, Koror</t>
  </si>
  <si>
    <t>Chainlink wire</t>
  </si>
  <si>
    <t>6OGS</t>
  </si>
  <si>
    <t>PNOC Pool Building</t>
  </si>
  <si>
    <t>Palau National Olympic Committee</t>
  </si>
  <si>
    <t>Single storey steel framed building with roof deck</t>
  </si>
  <si>
    <t>7OGS</t>
  </si>
  <si>
    <t>Meyuns Youth Center</t>
  </si>
  <si>
    <t>Koror State</t>
  </si>
  <si>
    <t>8OGS</t>
  </si>
  <si>
    <t>Palau National Gym</t>
  </si>
  <si>
    <t>Installation of ceiling, sound proofing, chiller system, fire protection and backup power</t>
  </si>
  <si>
    <t>Half concrete and half metal cladding</t>
  </si>
  <si>
    <t>Reinforced concrete with epoxy paint</t>
  </si>
  <si>
    <t>9OGS</t>
  </si>
  <si>
    <t>Old OEK Building</t>
  </si>
  <si>
    <t>Two-storey brick masonry building with tin roofing</t>
  </si>
  <si>
    <t>Replacement of roofing, partitions,floor tiles and ceiling</t>
  </si>
  <si>
    <t>Concrete strip footing</t>
  </si>
  <si>
    <t xml:space="preserve">Load-bearing brick masonry </t>
  </si>
  <si>
    <t>Masonry brick</t>
  </si>
  <si>
    <t>10OGS</t>
  </si>
  <si>
    <t>BSCC Cable Landing Station</t>
  </si>
  <si>
    <t>Belau Submarine Cable Corporation</t>
  </si>
  <si>
    <t>Single storey steel framed building with superior metal roof</t>
  </si>
  <si>
    <t>Concrete pillars</t>
  </si>
  <si>
    <t>Painted steel</t>
  </si>
  <si>
    <t>Reinforced concrete with vinyl and wood</t>
  </si>
  <si>
    <t>Prepainted superior metal sheet</t>
  </si>
  <si>
    <t>Not counted</t>
  </si>
  <si>
    <t>ACI</t>
  </si>
  <si>
    <t>Estimated Replacement Cost</t>
  </si>
  <si>
    <t>Annual Mtc Cost</t>
  </si>
  <si>
    <t>included because new building may be built in stages and may take many years</t>
  </si>
  <si>
    <t>(Also Called Public Safety)</t>
  </si>
  <si>
    <t>split up into Agriculture and Fisheries</t>
  </si>
  <si>
    <t>Total Max</t>
  </si>
  <si>
    <t>Actual Total</t>
  </si>
  <si>
    <t>Total Actual Score</t>
  </si>
  <si>
    <t>MAX Actual Score</t>
  </si>
  <si>
    <r>
      <t xml:space="preserve">Regrading of the field and installation of artificial turf on the infield, and replacement of chainlink fence </t>
    </r>
    <r>
      <rPr>
        <sz val="11"/>
        <color rgb="FFFF0000"/>
        <rFont val="Arial"/>
        <family val="2"/>
      </rPr>
      <t>(ogoing)</t>
    </r>
  </si>
  <si>
    <t>Double 1.5m Ø reinforced concrete pipe</t>
  </si>
  <si>
    <t>Tower Height  (f)</t>
  </si>
  <si>
    <t>Lattice</t>
  </si>
  <si>
    <t>Ngarchelong</t>
  </si>
  <si>
    <t>Ngardmau (Ngerchelchuus)</t>
  </si>
  <si>
    <t>Kokusao</t>
  </si>
  <si>
    <t>Uel</t>
  </si>
  <si>
    <t>Aimeliik (Medorm)</t>
  </si>
  <si>
    <t>Airai (PNCC HQ)</t>
  </si>
  <si>
    <t>PNCC (KBO)</t>
  </si>
  <si>
    <t>PNCC (ITMC)</t>
  </si>
  <si>
    <t>Ketund</t>
  </si>
  <si>
    <t>KAYANGEL</t>
  </si>
  <si>
    <t>100 PR./ 8,000' FT</t>
  </si>
  <si>
    <t>NGARCHELONG</t>
  </si>
  <si>
    <t xml:space="preserve">200 PR./ 36,891' FT </t>
  </si>
  <si>
    <t>NGARAARD</t>
  </si>
  <si>
    <t xml:space="preserve">200 PR./ 38,645' FT </t>
  </si>
  <si>
    <t>NGARDMAU</t>
  </si>
  <si>
    <t>200 PR./ 17,087' FT</t>
  </si>
  <si>
    <t>NGAREMLENGUI</t>
  </si>
  <si>
    <t>200 PR./ 31,553' FT</t>
  </si>
  <si>
    <t>IBOBANG</t>
  </si>
  <si>
    <t>200 PR./ 6,022' FT</t>
  </si>
  <si>
    <t>NGATPANG</t>
  </si>
  <si>
    <t>200 PR./ 4,900' FT</t>
  </si>
  <si>
    <t>POWER PLANT, AIMELIIK</t>
  </si>
  <si>
    <t>200 PR./ 35,978' FT</t>
  </si>
  <si>
    <t>NGERKEAI, AIMELIIK</t>
  </si>
  <si>
    <t>200 PR./ 5,447' FT</t>
  </si>
  <si>
    <t>AIRI</t>
  </si>
  <si>
    <t>600 PR./ 65,638' FT</t>
  </si>
  <si>
    <t>NGCHESAR</t>
  </si>
  <si>
    <t>200 PR/ 43,856' FT</t>
  </si>
  <si>
    <t>MELEKEOK</t>
  </si>
  <si>
    <t>200 PR./ 22,563' FT</t>
  </si>
  <si>
    <t>NGIWAL</t>
  </si>
  <si>
    <t>200 PR./ 16,660' FT</t>
  </si>
  <si>
    <t>KOROR</t>
  </si>
  <si>
    <t>1600 PR./ 46,000' FT</t>
  </si>
  <si>
    <t>PELELIU</t>
  </si>
  <si>
    <t>200 PR./ 19,752' FT</t>
  </si>
  <si>
    <t>ANGAUR</t>
  </si>
  <si>
    <t>200 PR./ 13,345' FT</t>
  </si>
  <si>
    <t>RT 00</t>
  </si>
  <si>
    <t>VDSL 1</t>
  </si>
  <si>
    <t>Airai HQ</t>
  </si>
  <si>
    <t>ADSL1_IPOE</t>
  </si>
  <si>
    <t>AIRAI HQ</t>
  </si>
  <si>
    <t>MSAN, DTV, Transmission &amp; Power System</t>
  </si>
  <si>
    <t>Cell Site</t>
  </si>
  <si>
    <t>RT 01</t>
  </si>
  <si>
    <t>Airai Ked</t>
  </si>
  <si>
    <t>RT 02</t>
  </si>
  <si>
    <t>Airai View</t>
  </si>
  <si>
    <t>RT 03</t>
  </si>
  <si>
    <t>RT 04</t>
  </si>
  <si>
    <t>Ngesaol</t>
  </si>
  <si>
    <t>RT 05</t>
  </si>
  <si>
    <t>Ngermid</t>
  </si>
  <si>
    <t>RT 06</t>
  </si>
  <si>
    <t>MSAN, DTV, Transmission &amp; Power System #2</t>
  </si>
  <si>
    <t>Malakal</t>
  </si>
  <si>
    <t>MSAN, DTV, Transmission &amp; Power System #1</t>
  </si>
  <si>
    <t>RT 07</t>
  </si>
  <si>
    <t>RT 08</t>
  </si>
  <si>
    <t>Melekeok Vil.</t>
  </si>
  <si>
    <t xml:space="preserve">Melekeok </t>
  </si>
  <si>
    <t>RT 11</t>
  </si>
  <si>
    <t>Mongami AMIMELIIK</t>
  </si>
  <si>
    <t xml:space="preserve"> AMIMELIIK</t>
  </si>
  <si>
    <t xml:space="preserve">RT 12 </t>
  </si>
  <si>
    <t>ITMC Meyuns</t>
  </si>
  <si>
    <t>RT 12</t>
  </si>
  <si>
    <t>ITMC  Meyuns</t>
  </si>
  <si>
    <t>RT 13</t>
  </si>
  <si>
    <t>RT 14</t>
  </si>
  <si>
    <t>Ngarrard</t>
  </si>
  <si>
    <t>RT 15</t>
  </si>
  <si>
    <t>RT 16</t>
  </si>
  <si>
    <t>RT 17</t>
  </si>
  <si>
    <t>RT 18</t>
  </si>
  <si>
    <t>Ibobang</t>
  </si>
  <si>
    <t>RT 19</t>
  </si>
  <si>
    <t>RT 20</t>
  </si>
  <si>
    <t>RT 21</t>
  </si>
  <si>
    <t>MSAN, DTV, Transmission &amp; Power System/VDSL</t>
  </si>
  <si>
    <t>KBO</t>
  </si>
  <si>
    <t>MSAN, DTV, Transmission &amp; Power System #3</t>
  </si>
  <si>
    <t>MSAN, DTV, Transmission &amp; Power System #4</t>
  </si>
  <si>
    <t>MSAN, DTV, Transmission &amp; Power System #5</t>
  </si>
  <si>
    <t>MSAN, DTV, Transmission &amp; Power System #6</t>
  </si>
  <si>
    <t>MSAN, DTV, Transmission &amp; Power System #7</t>
  </si>
  <si>
    <t>MSAN, DTV, Transmission &amp; Power System #8</t>
  </si>
  <si>
    <t>MSAN, DTV, Transmission &amp; Power System #9</t>
  </si>
  <si>
    <t>MSAN, DTV, Transmission &amp; Power System #10</t>
  </si>
  <si>
    <t>MSAN, DTV, Transmission &amp; Power System #11</t>
  </si>
  <si>
    <t>MSAN, DTV, Transmission &amp; Power System #12</t>
  </si>
  <si>
    <t>RT 23</t>
  </si>
  <si>
    <t>MelekeokCell.</t>
  </si>
  <si>
    <t>MelekeokCAP</t>
  </si>
  <si>
    <t>RT 27</t>
  </si>
  <si>
    <t>Power Plant, AIMELIIK</t>
  </si>
  <si>
    <t>RT 30</t>
  </si>
  <si>
    <t>Ngerkebesang</t>
  </si>
  <si>
    <t>PNOC / GYM / PDC</t>
  </si>
  <si>
    <t>PPR</t>
  </si>
  <si>
    <t>Courthouse &amp; Landmark Hotel</t>
  </si>
  <si>
    <t>Peleliu / monument</t>
  </si>
  <si>
    <t>Ngerikiil</t>
  </si>
  <si>
    <t>Ngchemsed / Ngeermlengui</t>
  </si>
  <si>
    <t>Capital (mini cell)</t>
  </si>
  <si>
    <t xml:space="preserve">Malakal/Bailechesau cell site </t>
  </si>
  <si>
    <t>Ngkeklau</t>
  </si>
  <si>
    <t>Ollei</t>
  </si>
  <si>
    <t>Kokusai</t>
  </si>
  <si>
    <t>Copper - Twisted pair</t>
  </si>
  <si>
    <t>NIIGATA 14</t>
  </si>
  <si>
    <t>Malakal Power Station</t>
  </si>
  <si>
    <t>Major Overhaul</t>
  </si>
  <si>
    <t>6,600 volts</t>
  </si>
  <si>
    <t>Niigata</t>
  </si>
  <si>
    <t>NIIGATA 15</t>
  </si>
  <si>
    <t>MITSUBISHI 13</t>
  </si>
  <si>
    <t>Feb. 2019</t>
  </si>
  <si>
    <t>13,800 volts</t>
  </si>
  <si>
    <t>Mitsubishi</t>
  </si>
  <si>
    <t>CAT 2</t>
  </si>
  <si>
    <t>Minor Maintenance</t>
  </si>
  <si>
    <t>480 volts</t>
  </si>
  <si>
    <t>Caterpillar</t>
  </si>
  <si>
    <t>MITSUBISHI 16</t>
  </si>
  <si>
    <t>MITSUBISHI 17</t>
  </si>
  <si>
    <t>MITSUBISHI 18</t>
  </si>
  <si>
    <t>MITSUBISHI 19</t>
  </si>
  <si>
    <t>MITSUBISHI 6</t>
  </si>
  <si>
    <t>Aimeliik Power Station</t>
  </si>
  <si>
    <t>MITSUBISHI 7</t>
  </si>
  <si>
    <t>Track and Field</t>
  </si>
  <si>
    <t>Inverters</t>
  </si>
  <si>
    <t>208/480Volts</t>
  </si>
  <si>
    <t>JA Solar</t>
  </si>
  <si>
    <t>SMA</t>
  </si>
  <si>
    <t>PCC Cafeteria</t>
  </si>
  <si>
    <t>208/Volts</t>
  </si>
  <si>
    <t>202 Volts</t>
  </si>
  <si>
    <t>Kyocera</t>
  </si>
  <si>
    <t>Sanyo Denki</t>
  </si>
  <si>
    <t>Palau National Capitol</t>
  </si>
  <si>
    <t>Shuten</t>
  </si>
  <si>
    <t>Angaur Power Plant</t>
  </si>
  <si>
    <t>2019/2020</t>
  </si>
  <si>
    <t>Generator/Inverter</t>
  </si>
  <si>
    <t>480/277</t>
  </si>
  <si>
    <t>Trina Solar</t>
  </si>
  <si>
    <t>Peleliu Power Plant</t>
  </si>
  <si>
    <t>2018/2020</t>
  </si>
  <si>
    <t>Inverter/Generator</t>
  </si>
  <si>
    <t>Trina Solar/Mitsubishi</t>
  </si>
  <si>
    <t>Kayangel Power Plant</t>
  </si>
  <si>
    <t>208/480</t>
  </si>
  <si>
    <t>Malakal Feeder</t>
  </si>
  <si>
    <t>13.8 KV</t>
  </si>
  <si>
    <t>Meyuns Feeder</t>
  </si>
  <si>
    <t>Airai- Koror Feeder</t>
  </si>
  <si>
    <t>Airai - Airport Feeder</t>
  </si>
  <si>
    <t>poles, crossarms, conductors &amp; hardware</t>
  </si>
  <si>
    <t>Kokusai - Melkeok</t>
  </si>
  <si>
    <t>Ngechesar Feeder</t>
  </si>
  <si>
    <t>Ngechesar</t>
  </si>
  <si>
    <t>Ngechesar -Galaxy</t>
  </si>
  <si>
    <t>Melekeok Feeder</t>
  </si>
  <si>
    <t>Galaxy - Capitol</t>
  </si>
  <si>
    <t>Ngiwal Feeder</t>
  </si>
  <si>
    <t>Mongami Feeder</t>
  </si>
  <si>
    <t>Medorm Feeder</t>
  </si>
  <si>
    <t>Nekken - Ngatpang Feeder</t>
  </si>
  <si>
    <t>Nekken</t>
  </si>
  <si>
    <t>Ibobang Feeder</t>
  </si>
  <si>
    <t>Ngeremlengui Feeder</t>
  </si>
  <si>
    <t>Ngarmau Feeder</t>
  </si>
  <si>
    <t>Ngaraard Feeder 1</t>
  </si>
  <si>
    <t>Ngaraard Feeder 2</t>
  </si>
  <si>
    <t>Malakal - Airai</t>
  </si>
  <si>
    <t>34.5 KV</t>
  </si>
  <si>
    <t>Aimeliik - Airai</t>
  </si>
  <si>
    <t>Aimeliik - Ngaraard</t>
  </si>
  <si>
    <t>Malakal Substation</t>
  </si>
  <si>
    <t>13.8 kV</t>
  </si>
  <si>
    <t>34.5 kV</t>
  </si>
  <si>
    <t>Airai Substation</t>
  </si>
  <si>
    <t>3Ø 10,000 kVA</t>
  </si>
  <si>
    <t>Aimeliik Substation</t>
  </si>
  <si>
    <t>3Ø 10,000 kVA x 2</t>
  </si>
  <si>
    <t>Medorm Substation</t>
  </si>
  <si>
    <t>Power Transformer</t>
  </si>
  <si>
    <t>3Ø 1,500 kVA</t>
  </si>
  <si>
    <t>Mongami Substation</t>
  </si>
  <si>
    <t>1Ø 75 kVA x 3</t>
  </si>
  <si>
    <t>Nekken Substation</t>
  </si>
  <si>
    <t>Koksai Substation</t>
  </si>
  <si>
    <t>Ibobang Substation</t>
  </si>
  <si>
    <t>Asahi Substation</t>
  </si>
  <si>
    <t>Ngardmau Substation</t>
  </si>
  <si>
    <t>1Ø 75 kVA</t>
  </si>
  <si>
    <t>Ngaraard 1 Substation</t>
  </si>
  <si>
    <t>Ngaraard 2 Substation</t>
  </si>
  <si>
    <t>3Ø 750 kVA</t>
  </si>
  <si>
    <t>3Ø 13,000 kVA</t>
  </si>
  <si>
    <t>3Ø 5,000 kVA</t>
  </si>
  <si>
    <t>Vacuum</t>
  </si>
  <si>
    <t>Substation</t>
  </si>
  <si>
    <t>34,500 volts</t>
  </si>
  <si>
    <t>Oil</t>
  </si>
  <si>
    <t>PALAU PUBLIC UTILITIES CORPORATION</t>
  </si>
  <si>
    <t>WATER DISTRIBUTION TANKS, TREATMENT PLANTS AND DAMS</t>
  </si>
  <si>
    <t>Total surveyed = 41 stations.</t>
  </si>
  <si>
    <t>Surveyed on: 06.12.2017, 07.12.2017 and 13.12.2017.</t>
  </si>
  <si>
    <t>General problems at the Stations as follows:</t>
  </si>
  <si>
    <t>Flow meters are not functioning.</t>
  </si>
  <si>
    <t>General station maintenance to be done regularly.</t>
  </si>
  <si>
    <t>Sampling points are not available at any of the pump station.</t>
  </si>
  <si>
    <t>Most of the Pump station Pressure gauges are not functioning.</t>
  </si>
  <si>
    <t>Generator sets are not functioning.</t>
  </si>
  <si>
    <t>Most valves and gates are determined not operational.</t>
  </si>
  <si>
    <t>Many of the Pump stations, water tank, and Treatment Plants doesn’t have rain water gutters and downpipes.</t>
  </si>
  <si>
    <t xml:space="preserve">Some section of fence become rusty and discoloured, making the fence look aged or even a bit dilapidated. </t>
  </si>
  <si>
    <t>Ladder should not be installed infornt on top of the hatch box.</t>
  </si>
  <si>
    <t>Operators are not following the safety precautions while performing their daily activities. (ex: chlorine mixing).</t>
  </si>
  <si>
    <t>Float switches are to be installed at all water tanks.</t>
  </si>
  <si>
    <t>Required a small dewatering pump for operational issues. (ex: dewatering at valve chambers or any manholes or structures )</t>
  </si>
  <si>
    <t>#</t>
  </si>
  <si>
    <t>Type</t>
  </si>
  <si>
    <t>Description</t>
  </si>
  <si>
    <t>Remarks</t>
  </si>
  <si>
    <t>Pump Station</t>
  </si>
  <si>
    <t>Some of the electrical parts to be replaced.</t>
  </si>
  <si>
    <t>Recommended to buy pumps for this pumpstation on emergency basis</t>
  </si>
  <si>
    <t>One pump is not performing well. Need to replace with a new pump set. Pumps are very old.</t>
  </si>
  <si>
    <t>Valves should maintain regularly.</t>
  </si>
  <si>
    <t>Windows and doors of the pump station need to be replaced.</t>
  </si>
  <si>
    <t>One raw water pump is available(Submersible).</t>
  </si>
  <si>
    <t>Power fluctuations affecting the pump performance.</t>
  </si>
  <si>
    <t>Treatment Plant</t>
  </si>
  <si>
    <t>Flow meter is not functioning.</t>
  </si>
  <si>
    <t>storage tank has already been corroded</t>
  </si>
  <si>
    <t>Gate valve has already been corroded</t>
  </si>
  <si>
    <t>Intake/dam</t>
  </si>
  <si>
    <t>Two pumps are running among one of the pump is very old.</t>
  </si>
  <si>
    <t>Replace old pump with new one.</t>
  </si>
  <si>
    <t>intake storage tank should be cleaned regularly.</t>
  </si>
  <si>
    <t>Valve chamber should be dewatered.</t>
  </si>
  <si>
    <t>A new ladder is required for the tank.</t>
  </si>
  <si>
    <t>Choll</t>
  </si>
  <si>
    <t>Water Tank</t>
  </si>
  <si>
    <t>two inlet tanks are available</t>
  </si>
  <si>
    <t>Chlorine feeder is in good condition.</t>
  </si>
  <si>
    <t>Ngaraard state</t>
  </si>
  <si>
    <t>One of the pump is not working which leads to the above water tank.</t>
  </si>
  <si>
    <t>Elab (near cementry)</t>
  </si>
  <si>
    <t>There is an urgent need to change the broken discharge pipe.</t>
  </si>
  <si>
    <t xml:space="preserve">Olema </t>
  </si>
  <si>
    <t>Currently two pumps are running</t>
  </si>
  <si>
    <t>one of the pump is new other one is very old.</t>
  </si>
  <si>
    <t>Olema</t>
  </si>
  <si>
    <t>Treatment Pant</t>
  </si>
  <si>
    <t>Treatment system is ok</t>
  </si>
  <si>
    <t>Ngeklau</t>
  </si>
  <si>
    <t>Chlorine feeder condition is good</t>
  </si>
  <si>
    <t>Ground maintenance is bit poor.</t>
  </si>
  <si>
    <t>Boundary/fencing is not available around the pump station.</t>
  </si>
  <si>
    <t>Ngiwal (upper)</t>
  </si>
  <si>
    <t>Two pumps are running in normal limits.</t>
  </si>
  <si>
    <t>Generator is not working.</t>
  </si>
  <si>
    <t>To be prepare BOQ for the spare parts.</t>
  </si>
  <si>
    <t>Ngiwal (lower)</t>
  </si>
  <si>
    <t>Pumps are not working.</t>
  </si>
  <si>
    <t>To be prepare BOQ for spare parts.</t>
  </si>
  <si>
    <t xml:space="preserve">Ngiwal </t>
  </si>
  <si>
    <t>Water Tanks</t>
  </si>
  <si>
    <t>There are two water tanks are available.</t>
  </si>
  <si>
    <t>Valve chamber should be dewater.</t>
  </si>
  <si>
    <t>Valve chamber hatch box to be fixed properly.</t>
  </si>
  <si>
    <t>Structural tests to be done for the two tanks.</t>
  </si>
  <si>
    <t>Ngardmau state</t>
  </si>
  <si>
    <t>Dam/intake</t>
  </si>
  <si>
    <t xml:space="preserve">Construct a V notch weir to check the open channel flow rate. </t>
  </si>
  <si>
    <t>minor concrete works to be done.</t>
  </si>
  <si>
    <t>Station working is in good condition.</t>
  </si>
  <si>
    <t>A section of PVC pipe exposed to surface near treatment plant</t>
  </si>
  <si>
    <t>Water tank</t>
  </si>
  <si>
    <t>Passage to the pump station is not in good condition.</t>
  </si>
  <si>
    <t>Chlorine feeder is not available.</t>
  </si>
  <si>
    <t>Imeong</t>
  </si>
  <si>
    <t>Treatment Plant / Intake</t>
  </si>
  <si>
    <t>Two Pumps are running.</t>
  </si>
  <si>
    <t>Filter is working in normal limits.</t>
  </si>
  <si>
    <t>Boundary/fence is in good condition.</t>
  </si>
  <si>
    <t>Water is clear at the dam/intake.</t>
  </si>
  <si>
    <t>Need to be done a regular maintenance works at the dam.</t>
  </si>
  <si>
    <t>Ground maintenance should be done regularly.</t>
  </si>
  <si>
    <t>Boundary/fence is ok.</t>
  </si>
  <si>
    <t>Ngerengel</t>
  </si>
  <si>
    <t>Dam &amp; Pump Station</t>
  </si>
  <si>
    <t>Total two pumps in this station.</t>
  </si>
  <si>
    <t>Only one pump is running with in normal limits.</t>
  </si>
  <si>
    <t>One of the pump getting over heat when it is in operation.</t>
  </si>
  <si>
    <t>If a suction or discharge valve is closed, the pump runs without any fluid. Under these conditions the temperature rises quickly as the fluid turns to steam that can't escape.</t>
  </si>
  <si>
    <t>Water is clear at the intake well.</t>
  </si>
  <si>
    <t>Maintenance of the treatment plant is poor.</t>
  </si>
  <si>
    <t>General maintenance of the treatment plant should be done periodically.</t>
  </si>
  <si>
    <t>Some section on the tank structures are in bit poor condition.</t>
  </si>
  <si>
    <t>Structural tests to be done for the two water tanks.</t>
  </si>
  <si>
    <t>Some section of barbed wires on the fence have been damaged partially.</t>
  </si>
  <si>
    <t>Required to install a proper ladder for the tank.</t>
  </si>
  <si>
    <t>Chlorine feeder is working normal.</t>
  </si>
  <si>
    <t>Dosing pump is in idle condition. The pump is not functioning.</t>
  </si>
  <si>
    <t>Chlorine feeder is available but is not in good condition.</t>
  </si>
  <si>
    <t>Boundary/Fence is ok.</t>
  </si>
  <si>
    <t>Two pumps are working but in old condition.</t>
  </si>
  <si>
    <t>Pressure gauges are not functioning.</t>
  </si>
  <si>
    <t>To be installed a strainer at the intake chamber.</t>
  </si>
  <si>
    <t>Some section  fence has been damaged partially.</t>
  </si>
  <si>
    <t xml:space="preserve">Ngchesar </t>
  </si>
  <si>
    <t>Two pumps are there but only one is in working condition.</t>
  </si>
  <si>
    <t>Generator is working.</t>
  </si>
  <si>
    <t>Inside the genset room is clean and tidy.</t>
  </si>
  <si>
    <t>Boundary/Fencing around the treatment plant is in good condition.</t>
  </si>
  <si>
    <t>Overall maintenance is ok.</t>
  </si>
  <si>
    <t>Ngchsar</t>
  </si>
  <si>
    <t>Two tanks are functioning.</t>
  </si>
  <si>
    <t>Boundary/fencing around the water tank is in good condition.</t>
  </si>
  <si>
    <t>Two chlorine feeders are available and the condition of them are good.</t>
  </si>
  <si>
    <t>Ground maintenance is ok.</t>
  </si>
  <si>
    <t>Overall station is ok.</t>
  </si>
  <si>
    <t>General maintenance of the treatment plant is poor.</t>
  </si>
  <si>
    <t>Some sections of fence entangle with the tree roots, might damage in further.</t>
  </si>
  <si>
    <t>Treatment &amp; Intake</t>
  </si>
  <si>
    <t>Two pumps are running.</t>
  </si>
  <si>
    <t>Generator is not functioning.</t>
  </si>
  <si>
    <t>Some overall station images:</t>
  </si>
  <si>
    <t xml:space="preserve">Some section of pipes and tanks already have been corroded. </t>
  </si>
  <si>
    <t>Overall general maintenance is ok.</t>
  </si>
  <si>
    <t>Dam/Intake</t>
  </si>
  <si>
    <t>Some section of walk way bridge of the dam has been damaged.</t>
  </si>
  <si>
    <t>Regular inspection to be done for air valve, gate valves and Sluice valve.</t>
  </si>
  <si>
    <t>Periodic valve stroking and lubrication of stem threads to prevent jamming and corrosion on every quarter.</t>
  </si>
  <si>
    <t>Trees growing on concrete down stream.</t>
  </si>
  <si>
    <t>PNCC</t>
  </si>
  <si>
    <t>Recently section of pipe has been replaced near the discharge pipe.</t>
  </si>
  <si>
    <t>Installed new flow meter.</t>
  </si>
  <si>
    <t>Some repair works have been done near manhole chamber.</t>
  </si>
  <si>
    <t>Valve operation should be maintain regularly.</t>
  </si>
  <si>
    <t>Fencing around the Water tank is ok.</t>
  </si>
  <si>
    <t>Trees are growing near the concrete structure /fence.</t>
  </si>
  <si>
    <t>Ngerikill (Edeng)</t>
  </si>
  <si>
    <t>Intake/Dam</t>
  </si>
  <si>
    <t>Overall intake well is ok.</t>
  </si>
  <si>
    <t>Total 3 Pumps are available among two are not performing well due to small leaks.</t>
  </si>
  <si>
    <t>Suspected that the pump mechanical seal has been damaged.</t>
  </si>
  <si>
    <t>Ground maintenance is very poor.</t>
  </si>
  <si>
    <t>Valves doesn’t have handles/wheels.</t>
  </si>
  <si>
    <t>Observed two manholes along the access.</t>
  </si>
  <si>
    <t>Observed some section of pipes have been exposed to surface.</t>
  </si>
  <si>
    <t>Pipes should maintain clean.</t>
  </si>
  <si>
    <t>Ladder needs to be replace.</t>
  </si>
  <si>
    <t>Structural tests to done for the tanks.</t>
  </si>
  <si>
    <t>Some section of fence has been damaged.</t>
  </si>
  <si>
    <t>Dosing pump is working normal.</t>
  </si>
  <si>
    <t>No boundary/fencing around the pump station.</t>
  </si>
  <si>
    <t>Structural tests to be done for the tanks.</t>
  </si>
  <si>
    <t>Ladder need to be replace.</t>
  </si>
  <si>
    <t>One manhole cover has been misplaced.</t>
  </si>
  <si>
    <t>Access to the intake well/Dam needs to be improved.</t>
  </si>
  <si>
    <t>Valves are in good condition.</t>
  </si>
  <si>
    <t>Water is clear.</t>
  </si>
  <si>
    <t>Operator need to visit the dam periodically.</t>
  </si>
  <si>
    <t>Ground maintenance is poor.</t>
  </si>
  <si>
    <t>Structural test to done for the tank.</t>
  </si>
  <si>
    <t>No boundary/fence is available.</t>
  </si>
  <si>
    <t>Ladder condition is ok.</t>
  </si>
  <si>
    <t>Valve handle is not available and maintenance should be done regularly.</t>
  </si>
  <si>
    <t>Some section of fence has been damaged and corrode.</t>
  </si>
  <si>
    <t>Two pumps are working.</t>
  </si>
  <si>
    <t>Ladder need to be replaced.</t>
  </si>
  <si>
    <t>General maintenance of the treatment plant is bit poor.</t>
  </si>
  <si>
    <t xml:space="preserve">Aimeliik </t>
  </si>
  <si>
    <t>Valve condition is good.</t>
  </si>
  <si>
    <t>Generator is working (as per operator info).</t>
  </si>
  <si>
    <t>Mongami</t>
  </si>
  <si>
    <t>No boundary/fencing around the station.</t>
  </si>
  <si>
    <t>Ladder needs to be replaced.</t>
  </si>
  <si>
    <t xml:space="preserve">Some section of pipe has been corroded. </t>
  </si>
  <si>
    <t>No chlorine feeder is available in this station.</t>
  </si>
  <si>
    <t>Ground maintenance to be done regularly.</t>
  </si>
  <si>
    <t>General maintenance of the station is poor.</t>
  </si>
  <si>
    <t xml:space="preserve">Some section of pipe has been corrode. </t>
  </si>
  <si>
    <t>Sand filter having some operational over flow issue.</t>
  </si>
  <si>
    <t>This is a long pending issue.</t>
  </si>
  <si>
    <t>15.12.2017</t>
  </si>
  <si>
    <t>*****</t>
  </si>
  <si>
    <t xml:space="preserve">KOROR - AIRAI WATER TREATMENT PLANT &amp; NGERIKIIL PUMP STATION UPDATE </t>
  </si>
  <si>
    <t xml:space="preserve">CAPACITY: 4MGD </t>
  </si>
  <si>
    <t xml:space="preserve">Year Finished &amp; Commissioned: 1998 </t>
  </si>
  <si>
    <t xml:space="preserve">Item # </t>
  </si>
  <si>
    <t xml:space="preserve">Location/Area </t>
  </si>
  <si>
    <t xml:space="preserve">Equipments </t>
  </si>
  <si>
    <t xml:space="preserve">Condition </t>
  </si>
  <si>
    <t xml:space="preserve">Remarks/Recommendation </t>
  </si>
  <si>
    <t xml:space="preserve">Generator Building </t>
  </si>
  <si>
    <t>Standby Generator, 750 kW, 480V, 3Ph. 60 Hz</t>
  </si>
  <si>
    <t>Bad, erratic operation, cannot tae any load.</t>
  </si>
  <si>
    <t xml:space="preserve">Needs complete engine overhaul and replacemtn of defective parts </t>
  </si>
  <si>
    <t xml:space="preserve">Suspected defective governor. </t>
  </si>
  <si>
    <t xml:space="preserve">Clear Well Pump Room #1 </t>
  </si>
  <si>
    <t xml:space="preserve">4x100 Hp, 200 Vlts 3Ph. Pumps </t>
  </si>
  <si>
    <t xml:space="preserve">Pump #3 &amp; #4 in operation </t>
  </si>
  <si>
    <t xml:space="preserve">Only two are in operation. </t>
  </si>
  <si>
    <t>Pump #1 in bad condition</t>
  </si>
  <si>
    <t xml:space="preserve">Needs 400A circuit breaker &amp; 400A contractor. </t>
  </si>
  <si>
    <t xml:space="preserve">Pump #2 in bad condition </t>
  </si>
  <si>
    <t xml:space="preserve">Pump broke. Motor installed to Pump #1. Will use Pump #2 starter to run it. </t>
  </si>
  <si>
    <t xml:space="preserve">Main Clear Well Water Storage </t>
  </si>
  <si>
    <t xml:space="preserve">Leaks alongside walls </t>
  </si>
  <si>
    <t>Needs repair, grout or patch leak points</t>
  </si>
  <si>
    <t xml:space="preserve">2x 1-1/2 Hp single phase exhaust fans </t>
  </si>
  <si>
    <t xml:space="preserve">Both broke years ago. </t>
  </si>
  <si>
    <t xml:space="preserve">Need replacement. </t>
  </si>
  <si>
    <t xml:space="preserve">Incoming Electrical Panel </t>
  </si>
  <si>
    <t xml:space="preserve">800 MCB in bad condition. </t>
  </si>
  <si>
    <t xml:space="preserve">Hard to operate, stuck. Needs replacement. </t>
  </si>
  <si>
    <t xml:space="preserve">ISOLATOR (Alarm Transmitter) at fault. </t>
  </si>
  <si>
    <t xml:space="preserve">Needs replacement. </t>
  </si>
  <si>
    <t xml:space="preserve">Clear Well Pump Room #2 </t>
  </si>
  <si>
    <t xml:space="preserve">Pump #5 - 150 Hp, 480 volt 3Ph. Pump </t>
  </si>
  <si>
    <t>Pump #5 Soft Starter control system.</t>
  </si>
  <si>
    <t>Island Eng'g informed. He reprogrammed</t>
  </si>
  <si>
    <t xml:space="preserve">malfunctioning. Needs to be reprogrammed everytime power fluctuates or black outs. </t>
  </si>
  <si>
    <t xml:space="preserve">Plant lead operators instructed on how to reset programmed parameters. </t>
  </si>
  <si>
    <t xml:space="preserve">Pump #6 - 150 Hp, 480 volt 3Ph. Pump </t>
  </si>
  <si>
    <t xml:space="preserve">Soft Starter malfunctioned. Reprogrammed by Stephen on 5 Feb 18 but failed. Left undone. </t>
  </si>
  <si>
    <t xml:space="preserve">Soft Starter control system needs reprogramming. Fault not identical with Pump #5. </t>
  </si>
  <si>
    <t xml:space="preserve">Wet Well Pump Station </t>
  </si>
  <si>
    <t xml:space="preserve">Pump #1 - 20 Hp, 480 volt 3Ph. Pump </t>
  </si>
  <si>
    <t xml:space="preserve">Newly repaired rotor installed, tested good. </t>
  </si>
  <si>
    <t xml:space="preserve">New pump installed. Under observation. </t>
  </si>
  <si>
    <t xml:space="preserve">Pump #2 - 20 Hp, 480 volt 3Ph. Pump </t>
  </si>
  <si>
    <t xml:space="preserve">In operation but inefficient. </t>
  </si>
  <si>
    <t xml:space="preserve">Motor &amp; Pump needs replacement. </t>
  </si>
  <si>
    <t xml:space="preserve">Pump #3 - 20 Hp, 480 volt 3Ph. Pump </t>
  </si>
  <si>
    <t xml:space="preserve">In operation, only pump was replaced. </t>
  </si>
  <si>
    <t xml:space="preserve">Motor needs relacement. </t>
  </si>
  <si>
    <t xml:space="preserve">Pump #4 - 20 Hp, 480 volt 3Ph. Pump </t>
  </si>
  <si>
    <t xml:space="preserve">Good, in operation </t>
  </si>
  <si>
    <t xml:space="preserve">In operation but old. </t>
  </si>
  <si>
    <t xml:space="preserve">Chemical Feeder Room </t>
  </si>
  <si>
    <t xml:space="preserve">Alum Feeder </t>
  </si>
  <si>
    <t xml:space="preserve">Bad, but operational </t>
  </si>
  <si>
    <t xml:space="preserve">Units needs replacement. </t>
  </si>
  <si>
    <t xml:space="preserve">Soda Ash Feeder </t>
  </si>
  <si>
    <t xml:space="preserve">Units needs replacement </t>
  </si>
  <si>
    <t xml:space="preserve">Alum/Soda Ash (Spare) Feeder </t>
  </si>
  <si>
    <t xml:space="preserve">PAC Feeder </t>
  </si>
  <si>
    <t xml:space="preserve">Bad, parts used as spares for others </t>
  </si>
  <si>
    <t xml:space="preserve">PAC Diaphram Pump &amp; Motor #1 </t>
  </si>
  <si>
    <t xml:space="preserve">Bad, broken years ago </t>
  </si>
  <si>
    <t>PAC Diaphram Pump &amp; Motor #2</t>
  </si>
  <si>
    <t xml:space="preserve">Material Lift </t>
  </si>
  <si>
    <t xml:space="preserve">Units needs renovation or replacement </t>
  </si>
  <si>
    <t xml:space="preserve">Exhaust Fan </t>
  </si>
  <si>
    <t xml:space="preserve">Bad </t>
  </si>
  <si>
    <t xml:space="preserve">Chemical Batching Room </t>
  </si>
  <si>
    <t xml:space="preserve">Alum Dust Collector </t>
  </si>
  <si>
    <t xml:space="preserve">Soda Ash Dust Collector </t>
  </si>
  <si>
    <t xml:space="preserve">Alum/Soda Ash (Spare) Dust Collector </t>
  </si>
  <si>
    <t xml:space="preserve">PAC Dust Collector </t>
  </si>
  <si>
    <t xml:space="preserve">Bad, not operational </t>
  </si>
  <si>
    <t xml:space="preserve">Motor Control Center Room </t>
  </si>
  <si>
    <t xml:space="preserve">Various Electrical Components </t>
  </si>
  <si>
    <t xml:space="preserve">Some parts malfunctioning </t>
  </si>
  <si>
    <t xml:space="preserve">Most parts need replacement </t>
  </si>
  <si>
    <t xml:space="preserve">Chemical Building (Where Items No. 5 to #7 are housed) </t>
  </si>
  <si>
    <t xml:space="preserve">Lighting system </t>
  </si>
  <si>
    <t xml:space="preserve">Bad but operational </t>
  </si>
  <si>
    <t xml:space="preserve">Exit lighting system </t>
  </si>
  <si>
    <t xml:space="preserve">Not operational </t>
  </si>
  <si>
    <t xml:space="preserve">Emergency lighting system </t>
  </si>
  <si>
    <t xml:space="preserve">Flocculator &amp; Sedimentation Basins </t>
  </si>
  <si>
    <t xml:space="preserve">6x 1.5 Hp Mixers </t>
  </si>
  <si>
    <t xml:space="preserve">Bad but only four are operational </t>
  </si>
  <si>
    <t xml:space="preserve">3x 0.75 Sludge Collector Drives </t>
  </si>
  <si>
    <t xml:space="preserve">Hand rails made of asbestos material </t>
  </si>
  <si>
    <t xml:space="preserve">Bad, health hazard </t>
  </si>
  <si>
    <t xml:space="preserve">Needs relacement with non asbestos </t>
  </si>
  <si>
    <t xml:space="preserve">New Chemical Storage Building </t>
  </si>
  <si>
    <t>Roll-up doors</t>
  </si>
  <si>
    <t xml:space="preserve">Bad, only 1 of 3 is operational </t>
  </si>
  <si>
    <t xml:space="preserve">Chlorine Storage Room </t>
  </si>
  <si>
    <t>Bad door and exhaust fan broken</t>
  </si>
  <si>
    <t xml:space="preserve">Air Condition </t>
  </si>
  <si>
    <t xml:space="preserve">Bad, none is operational </t>
  </si>
  <si>
    <t xml:space="preserve">Lighting System </t>
  </si>
  <si>
    <t xml:space="preserve">Some not operational </t>
  </si>
  <si>
    <t xml:space="preserve">Perimeter Fence </t>
  </si>
  <si>
    <t xml:space="preserve">Gates &amp; linked fence </t>
  </si>
  <si>
    <t xml:space="preserve">Need repair or replacement </t>
  </si>
  <si>
    <t>Filter Tanks</t>
  </si>
  <si>
    <t xml:space="preserve">2 of the 5 Filter tanks </t>
  </si>
  <si>
    <t xml:space="preserve">Bad, inefficient backwashing </t>
  </si>
  <si>
    <t>Needs renovation or general repair</t>
  </si>
  <si>
    <t xml:space="preserve">Gate valve 12" to FT #2 </t>
  </si>
  <si>
    <t xml:space="preserve">Bad, cannot be adjusted, stuck-up </t>
  </si>
  <si>
    <t xml:space="preserve">Needs repair or replacement </t>
  </si>
  <si>
    <t xml:space="preserve">Sludge Drying Beds </t>
  </si>
  <si>
    <t xml:space="preserve">7 Drying Beds </t>
  </si>
  <si>
    <t xml:space="preserve">Bad, not effective anymore </t>
  </si>
  <si>
    <t xml:space="preserve">Complete renovation </t>
  </si>
  <si>
    <t xml:space="preserve">Backwash Tank </t>
  </si>
  <si>
    <t xml:space="preserve">Sludge and Decant Subm Pumps </t>
  </si>
  <si>
    <t xml:space="preserve">Bad not operational </t>
  </si>
  <si>
    <t xml:space="preserve">Need replacement </t>
  </si>
  <si>
    <t xml:space="preserve">Ngerikiil Pump Station </t>
  </si>
  <si>
    <t xml:space="preserve">Standby Generator, 300 kW, 208V, 3Ph </t>
  </si>
  <si>
    <t xml:space="preserve">Very Bad, Engine runs but cannot produce output voltage. </t>
  </si>
  <si>
    <t xml:space="preserve">Needs general repair or replacement </t>
  </si>
  <si>
    <t xml:space="preserve">Pump #1 - 150 HP, 200 Volt, 3 Ph., 60 Hz. </t>
  </si>
  <si>
    <t xml:space="preserve">Good but leaks </t>
  </si>
  <si>
    <t xml:space="preserve">Mechanical seal needs replacement. </t>
  </si>
  <si>
    <t xml:space="preserve">Pump #2 - 150 HP, 200 Volt, 3Ph., 60 Hz. </t>
  </si>
  <si>
    <t xml:space="preserve">Mechanical seal needs repalcement. </t>
  </si>
  <si>
    <t xml:space="preserve">Pump #3 - 150 HP, 200 Volt, 3 Ph., 60 Hz. </t>
  </si>
  <si>
    <t xml:space="preserve">Needs start transformer &amp; MotorSaver. </t>
  </si>
  <si>
    <t xml:space="preserve">Generator rm., Electrical rm. &amp; exterior </t>
  </si>
  <si>
    <t xml:space="preserve">Bad lighting system </t>
  </si>
  <si>
    <t xml:space="preserve">Main Gate </t>
  </si>
  <si>
    <t xml:space="preserve">Needs repair and repaint. </t>
  </si>
  <si>
    <t xml:space="preserve">Good, some portion are in bad condition </t>
  </si>
  <si>
    <t>Condition Assessment and Improvements recommendations</t>
  </si>
  <si>
    <t>Works required to provide continuous reliable sewage services</t>
  </si>
  <si>
    <t>Note: Items already included in ICB-02 Scope of Works are shaded Blue</t>
  </si>
  <si>
    <t>Pumps in Procurement</t>
  </si>
  <si>
    <t>SPS No.</t>
  </si>
  <si>
    <t>Pumps required</t>
  </si>
  <si>
    <t>Valves &amp; Pipework</t>
  </si>
  <si>
    <t>Cubicle</t>
  </si>
  <si>
    <t>Cables</t>
  </si>
  <si>
    <t>Lids</t>
  </si>
  <si>
    <t>Safe Access &amp; Parking</t>
  </si>
  <si>
    <t>Signage &amp; Security</t>
  </si>
  <si>
    <t>Alarms</t>
  </si>
  <si>
    <t>Property Issues</t>
  </si>
  <si>
    <t>Hanpa</t>
  </si>
  <si>
    <t>EPO</t>
  </si>
  <si>
    <t>Still Required</t>
  </si>
  <si>
    <t>Priority for Works</t>
  </si>
  <si>
    <t>7E</t>
  </si>
  <si>
    <t>Unknown</t>
  </si>
  <si>
    <t>OK</t>
  </si>
  <si>
    <t>Replace Lids</t>
  </si>
  <si>
    <t>Repair concrete lid 
Replace steelwork</t>
  </si>
  <si>
    <t>Install Signage &amp; Security</t>
  </si>
  <si>
    <t>Install three red alarm lights or SCADA</t>
  </si>
  <si>
    <t>12H</t>
  </si>
  <si>
    <t>Inspect and repair/replace</t>
  </si>
  <si>
    <t>Repair doors
Install wiring correctly</t>
  </si>
  <si>
    <t>Install correctly in conduits</t>
  </si>
  <si>
    <t>Replace steelwork</t>
  </si>
  <si>
    <t>Provide safe access over bund wall.</t>
  </si>
  <si>
    <t>Provide access for vehicle</t>
  </si>
  <si>
    <t>15J</t>
  </si>
  <si>
    <t>Install new cubicle</t>
  </si>
  <si>
    <t>Install power supply cables correctly.
Install control cables in conduits</t>
  </si>
  <si>
    <t>18L</t>
  </si>
  <si>
    <t>Install wiring correctly</t>
  </si>
  <si>
    <t>Inaccessible. Require method of access for maintenance works.</t>
  </si>
  <si>
    <t>21N</t>
  </si>
  <si>
    <t>Construct bund wall to divert stormwater around SPS</t>
  </si>
  <si>
    <t>LS3</t>
  </si>
  <si>
    <t>Replace Lid</t>
  </si>
  <si>
    <t>Clean pump well and replace all corroded steelwork
Provide drainage pipe to safe location for overflows.</t>
  </si>
  <si>
    <t>Provide separation from adjacent houses.</t>
  </si>
  <si>
    <t>Located adjacent to houses.  Overflow drain passes by houses</t>
  </si>
  <si>
    <t>A1</t>
  </si>
  <si>
    <t>Repair No.1 Pump motor shaft leak
Repair/Replace No.3 Pump</t>
  </si>
  <si>
    <t>N/a</t>
  </si>
  <si>
    <t>Replace Doors</t>
  </si>
  <si>
    <t>Grass cutting</t>
  </si>
  <si>
    <t>A4</t>
  </si>
  <si>
    <t>Replace doors. Remove barriers in front of alarm lights</t>
  </si>
  <si>
    <t>Ok</t>
  </si>
  <si>
    <t>8E</t>
  </si>
  <si>
    <t>Check and replace steelwork if necessary</t>
  </si>
  <si>
    <t>5B</t>
  </si>
  <si>
    <t>Repair/replace doors</t>
  </si>
  <si>
    <t>Provide steps for access</t>
  </si>
  <si>
    <t>16B</t>
  </si>
  <si>
    <t>Inspect and repair</t>
  </si>
  <si>
    <t>Obtain safe access to private property</t>
  </si>
  <si>
    <t>In private property.  Guard dog prevents routine access.</t>
  </si>
  <si>
    <t>LS2</t>
  </si>
  <si>
    <t>Clean pump well and replace all corroded steelwork</t>
  </si>
  <si>
    <t>Obtain access agreement with landholder</t>
  </si>
  <si>
    <t>A5</t>
  </si>
  <si>
    <t>Replace doors</t>
  </si>
  <si>
    <t>Remove concrete around wet well &amp; chamber</t>
  </si>
  <si>
    <t>Near front door of house.  Separation required.</t>
  </si>
  <si>
    <t>A9</t>
  </si>
  <si>
    <t>Inspect for problems with priming</t>
  </si>
  <si>
    <t>Install front protective board for control panel</t>
  </si>
  <si>
    <t>Check internal steelwork</t>
  </si>
  <si>
    <t>Install permanent fence</t>
  </si>
  <si>
    <t>A10</t>
  </si>
  <si>
    <t>??</t>
  </si>
  <si>
    <t>Install switches on front panel</t>
  </si>
  <si>
    <t>Repair and install correctly</t>
  </si>
  <si>
    <t>A11</t>
  </si>
  <si>
    <t>Re-commission</t>
  </si>
  <si>
    <t>No access for vehicles</t>
  </si>
  <si>
    <t>A12</t>
  </si>
  <si>
    <t>A13</t>
  </si>
  <si>
    <t>A14</t>
  </si>
  <si>
    <t>A15</t>
  </si>
  <si>
    <t>2B</t>
  </si>
  <si>
    <t>Replace doors on generator house</t>
  </si>
  <si>
    <t>4B</t>
  </si>
  <si>
    <t>Inspect steel structures</t>
  </si>
  <si>
    <t>6D</t>
  </si>
  <si>
    <t>Arrange secure access</t>
  </si>
  <si>
    <t>14B</t>
  </si>
  <si>
    <t>Repair adjacent failing retaining wall.
Install safe access steps
Install fence</t>
  </si>
  <si>
    <t xml:space="preserve">In private property.  Adjacent to failing retaining wall. </t>
  </si>
  <si>
    <t>11G</t>
  </si>
  <si>
    <t>Install fence.
Provide safe access over bund wall.</t>
  </si>
  <si>
    <t>1A</t>
  </si>
  <si>
    <t>Make Power supply cables safe</t>
  </si>
  <si>
    <t xml:space="preserve">Arrange access &amp; secure parking adjacent to SPS. </t>
  </si>
  <si>
    <t>A6</t>
  </si>
  <si>
    <t>Repair incomer box</t>
  </si>
  <si>
    <t>Check steelwork and repair/replace</t>
  </si>
  <si>
    <t>On street</t>
  </si>
  <si>
    <t>Adjacent owner desires removal</t>
  </si>
  <si>
    <t>19M</t>
  </si>
  <si>
    <t>Provide safe access</t>
  </si>
  <si>
    <t>10C</t>
  </si>
  <si>
    <t>13I</t>
  </si>
  <si>
    <t>Install wiring correctly.
Replace meters</t>
  </si>
  <si>
    <t>E1</t>
  </si>
  <si>
    <t>Repair cable trays</t>
  </si>
  <si>
    <t>Clear overgrowth</t>
  </si>
  <si>
    <t>E2</t>
  </si>
  <si>
    <t>Install correctly in conduits
Repair cable trays</t>
  </si>
  <si>
    <t>A2</t>
  </si>
  <si>
    <t>A3</t>
  </si>
  <si>
    <t>9E</t>
  </si>
  <si>
    <t>Drain valve pit</t>
  </si>
  <si>
    <t>Repair wiring under lid</t>
  </si>
  <si>
    <t>10E</t>
  </si>
  <si>
    <t>17B</t>
  </si>
  <si>
    <t>20B</t>
  </si>
  <si>
    <t>Make power supply cables safe</t>
  </si>
  <si>
    <t>Overgrown - remove growth</t>
  </si>
  <si>
    <t>3C</t>
  </si>
  <si>
    <t>9F</t>
  </si>
  <si>
    <t>Replace cubicle</t>
  </si>
  <si>
    <t>ES1</t>
  </si>
  <si>
    <t>Install lifting handles</t>
  </si>
  <si>
    <t>ES2</t>
  </si>
  <si>
    <t>Provide safe entry steps over bund wall</t>
  </si>
  <si>
    <t>ES3</t>
  </si>
  <si>
    <t>Provide safe entry steps over bund wall
Install gate correctly</t>
  </si>
  <si>
    <t>LS1</t>
  </si>
  <si>
    <t>Install cables in pump well correctly</t>
  </si>
  <si>
    <t>Location in school grounds requires improved security and safety</t>
  </si>
  <si>
    <t>SPS 1</t>
  </si>
  <si>
    <t>SPS 2</t>
  </si>
  <si>
    <t>Notes:</t>
  </si>
  <si>
    <t>Valves unable to be inspected on most SPS as lids could not be opened. All valves to be inspected.</t>
  </si>
  <si>
    <t>Action Recommendations</t>
  </si>
  <si>
    <t>General:</t>
  </si>
  <si>
    <t>All SPS require cleanup and removal of overgrowth</t>
  </si>
  <si>
    <t>Pumps:</t>
  </si>
  <si>
    <t>To be confirmed by comparison with pump replacements program</t>
  </si>
  <si>
    <t>All SPS require identification and warning signs</t>
  </si>
  <si>
    <t>Valves: Inspect, Repair/Replace</t>
  </si>
  <si>
    <t>All</t>
  </si>
  <si>
    <t>To be confirmed by inspection</t>
  </si>
  <si>
    <t xml:space="preserve">Security: </t>
  </si>
  <si>
    <t>All SPS must have secure locks. Where the SPS is fenced this must also be secure.</t>
  </si>
  <si>
    <t>Repair/Replace Lids:</t>
  </si>
  <si>
    <t xml:space="preserve">All SPS: </t>
  </si>
  <si>
    <t>Provide water supply and locked vandal proof connection. Maintenance team should be equipped with 3/4" hose and pressure nozzle.</t>
  </si>
  <si>
    <t>Repair/ Replace steelwork</t>
  </si>
  <si>
    <t xml:space="preserve">Valve chambers to be drained and cleaned. </t>
  </si>
  <si>
    <t>Install Cables correctly</t>
  </si>
  <si>
    <t>Non-Return and sluice valves to be cleaned, checked and replaced if necessary.</t>
  </si>
  <si>
    <t>Three red alarm lights to be installed on all SPS where not installed at present.</t>
  </si>
  <si>
    <t>Repair/Replace cubicles</t>
  </si>
  <si>
    <t>Log books to be provided for every SPS. Inspection notes to be completed on every visit and kept in cubicle.</t>
  </si>
  <si>
    <t>Improve safe access</t>
  </si>
  <si>
    <t>Install signage &amp; security</t>
  </si>
  <si>
    <t>Recommission</t>
  </si>
  <si>
    <t>SPS A11, A12, A13, A14, A15</t>
  </si>
  <si>
    <t>``</t>
  </si>
  <si>
    <t>Central Govt</t>
  </si>
  <si>
    <t>MOJ</t>
  </si>
  <si>
    <t>MOE</t>
  </si>
  <si>
    <t>MOH</t>
  </si>
  <si>
    <t>MPIIC</t>
  </si>
  <si>
    <t>Total Buildings</t>
  </si>
  <si>
    <r>
      <t xml:space="preserve">Replacement of roofing and lighting fixtures, and repainting </t>
    </r>
    <r>
      <rPr>
        <sz val="11"/>
        <color rgb="FFFF0000"/>
        <rFont val="Arial"/>
        <family val="2"/>
      </rPr>
      <t>(ongoing)</t>
    </r>
  </si>
  <si>
    <t>Replacement Cost</t>
  </si>
  <si>
    <t>Top Layers Only</t>
  </si>
  <si>
    <t>Top layer</t>
  </si>
  <si>
    <t>Fence</t>
  </si>
  <si>
    <t>Annual Maintenance Cost</t>
  </si>
  <si>
    <t>Annual Maitenance Cost</t>
  </si>
  <si>
    <t>Annual Mtc. Cost</t>
  </si>
  <si>
    <r>
      <t>Unit Cost ($/m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</si>
  <si>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t>Maintenance Cost</t>
  </si>
  <si>
    <t>Length of 3-ph lines  (m)</t>
  </si>
  <si>
    <t>100 kVA pole mounted transformer (3 phase)</t>
  </si>
  <si>
    <t>US$/each</t>
  </si>
  <si>
    <t>300 kVA pad mounted transformer (3 phase)</t>
  </si>
  <si>
    <t>Replacement cost</t>
  </si>
  <si>
    <t>Appendix 5 – infrastructure condition assessment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</si>
</sst>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0.00000"/>
    <numFmt numFmtId="165" formatCode="0.000000"/>
    <numFmt numFmtId="166" formatCode="_(&quot;$&quot;* #,##0_);_(&quot;$&quot;* \(#,##0\);_(&quot;$&quot;* &quot;-&quot;??_);_(@_)"/>
    <numFmt numFmtId="167" formatCode="_(&quot;$&quot;* #,##0.0_);_(&quot;$&quot;* \(#,##0.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color rgb="FFC00000"/>
      <name val="Arial"/>
      <family val="2"/>
    </font>
    <font>
      <b/>
      <vertAlign val="superscript"/>
      <sz val="11"/>
      <color theme="1"/>
      <name val="Arial"/>
      <family val="2"/>
    </font>
    <font>
      <b/>
      <sz val="16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4" fillId="9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5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4" xfId="0" applyFill="1" applyBorder="1"/>
    <xf numFmtId="0" fontId="0" fillId="0" borderId="6" xfId="0" applyFill="1" applyBorder="1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5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vertical="center"/>
    </xf>
    <xf numFmtId="0" fontId="0" fillId="0" borderId="0" xfId="0" applyFill="1" applyBorder="1"/>
    <xf numFmtId="0" fontId="0" fillId="0" borderId="3" xfId="0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0" fillId="6" borderId="3" xfId="0" applyFill="1" applyBorder="1"/>
    <xf numFmtId="0" fontId="1" fillId="0" borderId="8" xfId="0" applyFont="1" applyBorder="1"/>
    <xf numFmtId="0" fontId="2" fillId="7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" fillId="0" borderId="0" xfId="0" applyFont="1"/>
    <xf numFmtId="0" fontId="1" fillId="5" borderId="9" xfId="0" applyFont="1" applyFill="1" applyBorder="1" applyAlignment="1"/>
    <xf numFmtId="0" fontId="0" fillId="0" borderId="0" xfId="0" applyBorder="1"/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4" borderId="9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165" fontId="0" fillId="4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9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/>
    </xf>
    <xf numFmtId="3" fontId="3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15" borderId="1" xfId="0" applyFont="1" applyFill="1" applyBorder="1"/>
    <xf numFmtId="0" fontId="3" fillId="0" borderId="1" xfId="0" applyFont="1" applyBorder="1"/>
    <xf numFmtId="0" fontId="3" fillId="15" borderId="9" xfId="0" applyFont="1" applyFill="1" applyBorder="1" applyAlignment="1">
      <alignment horizontal="left" vertical="center" wrapText="1"/>
    </xf>
    <xf numFmtId="0" fontId="3" fillId="15" borderId="10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0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left" vertical="top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3" fillId="2" borderId="1" xfId="0" applyFont="1" applyFill="1" applyBorder="1" applyAlignment="1">
      <alignment wrapText="1"/>
    </xf>
    <xf numFmtId="0" fontId="3" fillId="12" borderId="1" xfId="0" applyFont="1" applyFill="1" applyBorder="1"/>
    <xf numFmtId="0" fontId="3" fillId="2" borderId="10" xfId="0" applyFont="1" applyFill="1" applyBorder="1"/>
    <xf numFmtId="0" fontId="3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17" borderId="13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3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3" fillId="19" borderId="17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0" fontId="13" fillId="20" borderId="17" xfId="0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vertical="top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17" borderId="19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left" vertical="top" wrapText="1"/>
    </xf>
    <xf numFmtId="0" fontId="3" fillId="17" borderId="2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 wrapText="1"/>
    </xf>
    <xf numFmtId="0" fontId="3" fillId="17" borderId="21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top" wrapText="1"/>
    </xf>
    <xf numFmtId="0" fontId="3" fillId="17" borderId="22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top" wrapText="1"/>
    </xf>
    <xf numFmtId="0" fontId="3" fillId="17" borderId="23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" fillId="4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12" borderId="0" xfId="0" applyFont="1" applyFill="1" applyAlignment="1">
      <alignment horizontal="center"/>
    </xf>
    <xf numFmtId="0" fontId="2" fillId="0" borderId="13" xfId="0" applyFont="1" applyBorder="1" applyAlignment="1">
      <alignment horizontal="center"/>
    </xf>
    <xf numFmtId="166" fontId="3" fillId="0" borderId="0" xfId="2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9" fontId="3" fillId="0" borderId="0" xfId="0" applyNumberFormat="1" applyFont="1"/>
    <xf numFmtId="0" fontId="2" fillId="4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wrapText="1"/>
    </xf>
    <xf numFmtId="0" fontId="3" fillId="12" borderId="0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" fontId="3" fillId="12" borderId="1" xfId="3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/>
    </xf>
    <xf numFmtId="166" fontId="3" fillId="11" borderId="1" xfId="0" applyNumberFormat="1" applyFont="1" applyFill="1" applyBorder="1" applyAlignment="1">
      <alignment horizontal="center"/>
    </xf>
    <xf numFmtId="166" fontId="3" fillId="12" borderId="0" xfId="0" applyNumberFormat="1" applyFont="1" applyFill="1" applyBorder="1" applyAlignment="1">
      <alignment horizontal="center"/>
    </xf>
    <xf numFmtId="0" fontId="3" fillId="10" borderId="0" xfId="0" applyFont="1" applyFill="1"/>
    <xf numFmtId="166" fontId="3" fillId="10" borderId="0" xfId="2" applyNumberFormat="1" applyFont="1" applyFill="1"/>
    <xf numFmtId="0" fontId="3" fillId="12" borderId="0" xfId="0" applyFont="1" applyFill="1"/>
    <xf numFmtId="166" fontId="3" fillId="12" borderId="1" xfId="0" applyNumberFormat="1" applyFont="1" applyFill="1" applyBorder="1" applyAlignment="1">
      <alignment horizontal="center"/>
    </xf>
    <xf numFmtId="166" fontId="3" fillId="11" borderId="1" xfId="0" applyNumberFormat="1" applyFont="1" applyFill="1" applyBorder="1" applyAlignment="1">
      <alignment horizontal="center" wrapText="1"/>
    </xf>
    <xf numFmtId="166" fontId="3" fillId="12" borderId="0" xfId="0" applyNumberFormat="1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 vertical="center"/>
    </xf>
    <xf numFmtId="166" fontId="3" fillId="11" borderId="14" xfId="0" applyNumberFormat="1" applyFont="1" applyFill="1" applyBorder="1" applyAlignment="1">
      <alignment horizontal="center" wrapText="1"/>
    </xf>
    <xf numFmtId="166" fontId="3" fillId="11" borderId="18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wrapText="1"/>
    </xf>
    <xf numFmtId="0" fontId="3" fillId="12" borderId="0" xfId="0" applyFont="1" applyFill="1" applyAlignment="1">
      <alignment horizontal="center" wrapText="1"/>
    </xf>
    <xf numFmtId="0" fontId="11" fillId="0" borderId="1" xfId="0" applyFont="1" applyBorder="1"/>
    <xf numFmtId="0" fontId="11" fillId="4" borderId="1" xfId="0" applyFont="1" applyFill="1" applyBorder="1" applyAlignment="1">
      <alignment horizontal="left" vertical="center"/>
    </xf>
    <xf numFmtId="0" fontId="11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12" borderId="0" xfId="0" applyFont="1" applyFill="1" applyAlignment="1">
      <alignment horizont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3" fillId="11" borderId="0" xfId="0" applyFont="1" applyFill="1" applyAlignment="1">
      <alignment horizontal="center"/>
    </xf>
    <xf numFmtId="0" fontId="3" fillId="11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>
      <alignment horizontal="center"/>
    </xf>
    <xf numFmtId="0" fontId="3" fillId="12" borderId="0" xfId="0" applyFont="1" applyFill="1" applyBorder="1" applyAlignment="1">
      <alignment horizontal="left" vertical="center"/>
    </xf>
    <xf numFmtId="0" fontId="3" fillId="12" borderId="0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vertical="center" wrapText="1"/>
    </xf>
    <xf numFmtId="0" fontId="3" fillId="12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vertical="center"/>
    </xf>
    <xf numFmtId="1" fontId="3" fillId="12" borderId="0" xfId="3" applyNumberFormat="1" applyFont="1" applyFill="1" applyBorder="1" applyAlignment="1">
      <alignment horizontal="center" vertical="center"/>
    </xf>
    <xf numFmtId="44" fontId="3" fillId="12" borderId="0" xfId="0" applyNumberFormat="1" applyFont="1" applyFill="1" applyBorder="1" applyAlignment="1">
      <alignment horizontal="center"/>
    </xf>
    <xf numFmtId="166" fontId="2" fillId="22" borderId="1" xfId="0" applyNumberFormat="1" applyFont="1" applyFill="1" applyBorder="1" applyAlignment="1">
      <alignment horizontal="center"/>
    </xf>
    <xf numFmtId="0" fontId="3" fillId="12" borderId="0" xfId="0" applyFont="1" applyFill="1" applyBorder="1" applyAlignment="1">
      <alignment horizontal="left"/>
    </xf>
    <xf numFmtId="0" fontId="3" fillId="12" borderId="0" xfId="0" applyFont="1" applyFill="1" applyBorder="1" applyAlignment="1">
      <alignment horizontal="left" wrapText="1"/>
    </xf>
    <xf numFmtId="0" fontId="3" fillId="12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3" fillId="12" borderId="0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2" fontId="3" fillId="0" borderId="14" xfId="0" applyNumberFormat="1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wrapText="1"/>
    </xf>
    <xf numFmtId="166" fontId="3" fillId="12" borderId="0" xfId="2" applyNumberFormat="1" applyFont="1" applyFill="1" applyBorder="1" applyAlignment="1">
      <alignment horizontal="center" vertical="center"/>
    </xf>
    <xf numFmtId="10" fontId="2" fillId="3" borderId="0" xfId="0" applyNumberFormat="1" applyFont="1" applyFill="1" applyBorder="1" applyAlignment="1">
      <alignment horizontal="center" vertical="center" wrapText="1"/>
    </xf>
    <xf numFmtId="166" fontId="3" fillId="12" borderId="0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5" borderId="0" xfId="0" applyFont="1" applyFill="1" applyBorder="1" applyAlignment="1">
      <alignment horizontal="center" vertical="center" wrapText="1"/>
    </xf>
    <xf numFmtId="6" fontId="0" fillId="0" borderId="0" xfId="0" applyNumberFormat="1" applyAlignment="1">
      <alignment wrapText="1"/>
    </xf>
    <xf numFmtId="9" fontId="0" fillId="0" borderId="0" xfId="0" applyNumberFormat="1"/>
    <xf numFmtId="6" fontId="0" fillId="0" borderId="0" xfId="0" applyNumberFormat="1" applyAlignment="1">
      <alignment vertical="top"/>
    </xf>
    <xf numFmtId="0" fontId="3" fillId="0" borderId="0" xfId="0" applyFont="1" applyAlignment="1">
      <alignment horizontal="left" vertical="center" wrapText="1"/>
    </xf>
    <xf numFmtId="9" fontId="3" fillId="0" borderId="0" xfId="0" applyNumberFormat="1" applyFont="1" applyAlignment="1">
      <alignment vertical="center" wrapText="1"/>
    </xf>
    <xf numFmtId="0" fontId="3" fillId="12" borderId="2" xfId="0" applyFont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6" fontId="3" fillId="0" borderId="0" xfId="0" applyNumberFormat="1" applyFont="1"/>
    <xf numFmtId="0" fontId="2" fillId="5" borderId="16" xfId="0" applyFont="1" applyFill="1" applyBorder="1" applyAlignment="1">
      <alignment horizontal="center" vertical="center" wrapText="1"/>
    </xf>
    <xf numFmtId="166" fontId="0" fillId="0" borderId="0" xfId="2" applyNumberFormat="1" applyFont="1" applyAlignment="1">
      <alignment horizontal="center"/>
    </xf>
    <xf numFmtId="166" fontId="0" fillId="0" borderId="0" xfId="0" applyNumberFormat="1"/>
    <xf numFmtId="0" fontId="3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166" fontId="3" fillId="0" borderId="0" xfId="2" applyNumberFormat="1" applyFont="1" applyAlignment="1">
      <alignment horizontal="center" vertical="center" wrapText="1"/>
    </xf>
    <xf numFmtId="166" fontId="3" fillId="0" borderId="0" xfId="0" applyNumberFormat="1" applyFont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6" fontId="2" fillId="0" borderId="0" xfId="2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right" vertical="center" wrapText="1"/>
    </xf>
    <xf numFmtId="6" fontId="3" fillId="0" borderId="1" xfId="0" applyNumberFormat="1" applyFont="1" applyBorder="1"/>
    <xf numFmtId="44" fontId="3" fillId="0" borderId="0" xfId="2" applyFont="1" applyAlignment="1">
      <alignment vertical="center"/>
    </xf>
    <xf numFmtId="6" fontId="3" fillId="0" borderId="0" xfId="0" applyNumberFormat="1" applyFont="1" applyAlignment="1">
      <alignment horizontal="right" vertical="center"/>
    </xf>
    <xf numFmtId="6" fontId="3" fillId="0" borderId="1" xfId="0" applyNumberFormat="1" applyFont="1" applyBorder="1" applyAlignment="1">
      <alignment horizontal="right" vertical="center"/>
    </xf>
    <xf numFmtId="6" fontId="3" fillId="0" borderId="1" xfId="0" applyNumberFormat="1" applyFont="1" applyBorder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4" borderId="24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/>
    </xf>
    <xf numFmtId="6" fontId="3" fillId="4" borderId="24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12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22" borderId="2" xfId="0" applyFont="1" applyFill="1" applyBorder="1" applyAlignment="1">
      <alignment horizontal="center"/>
    </xf>
    <xf numFmtId="0" fontId="2" fillId="22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4">
    <cellStyle name="Currency" xfId="2" builtinId="4"/>
    <cellStyle name="Good" xfId="1" builtinId="26"/>
    <cellStyle name="Normal" xfId="0" builtinId="0"/>
    <cellStyle name="Percent" xfId="3" builtinId="5"/>
  </cellStyles>
  <dxfs count="4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8B2-4DCC-94F9-1AC69990F2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B2-4DCC-94F9-1AC69990F20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B2-4DCC-94F9-1AC69990F2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Govt'!$AW$44:$BA$44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'Buildings - Govt'!$AW$45:$BA$45</c:f>
              <c:numCache>
                <c:formatCode>General</c:formatCode>
                <c:ptCount val="5"/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2-4DCC-94F9-1AC69990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578800"/>
        <c:axId val="847577160"/>
      </c:barChart>
      <c:catAx>
        <c:axId val="84757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7160"/>
        <c:crosses val="autoZero"/>
        <c:auto val="1"/>
        <c:lblAlgn val="ctr"/>
        <c:lblOffset val="100"/>
        <c:noMultiLvlLbl val="0"/>
      </c:catAx>
      <c:valAx>
        <c:axId val="84757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782407407407409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4-4DEB-A9E9-4CDFDD39628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4-4DEB-A9E9-4CDFDD39628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04-4DEB-A9E9-4CDFDD3962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Govt'!$AW$56:$BA$56</c:f>
              <c:numCache>
                <c:formatCode>General</c:formatCode>
                <c:ptCount val="5"/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cat>
          <c:val>
            <c:numRef>
              <c:f>'Buildings - Govt'!$AW$57:$BA$57</c:f>
              <c:numCache>
                <c:formatCode>General</c:formatCode>
                <c:ptCount val="5"/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04-4DEB-A9E9-4CDFDD39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578800"/>
        <c:axId val="847577160"/>
      </c:barChart>
      <c:catAx>
        <c:axId val="84757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7160"/>
        <c:crosses val="autoZero"/>
        <c:auto val="1"/>
        <c:lblAlgn val="ctr"/>
        <c:lblOffset val="100"/>
        <c:noMultiLvlLbl val="0"/>
      </c:catAx>
      <c:valAx>
        <c:axId val="84757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A52-451A-84B3-1B30995AA68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52-451A-84B3-1B30995AA68F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52-451A-84B3-1B30995AA68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2-451A-84B3-1B30995AA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Govt'!$AW$69:$BA$69</c:f>
              <c:numCache>
                <c:formatCode>General</c:formatCode>
                <c:ptCount val="5"/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</c:numCache>
            </c:numRef>
          </c:cat>
          <c:val>
            <c:numRef>
              <c:f>'Buildings - Govt'!$AW$70:$BA$70</c:f>
              <c:numCache>
                <c:formatCode>General</c:formatCode>
                <c:ptCount val="5"/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2-451A-84B3-1B30995A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067320"/>
        <c:axId val="788064040"/>
      </c:barChart>
      <c:catAx>
        <c:axId val="78806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64040"/>
        <c:crosses val="autoZero"/>
        <c:auto val="1"/>
        <c:lblAlgn val="ctr"/>
        <c:lblOffset val="100"/>
        <c:noMultiLvlLbl val="0"/>
      </c:catAx>
      <c:valAx>
        <c:axId val="78806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6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AD0-4BCF-99E2-F06E6B57018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D0-4BCF-99E2-F06E6B57018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D0-4BCF-99E2-F06E6B57018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D0-4BCF-99E2-F06E6B570181}"/>
              </c:ext>
            </c:extLst>
          </c:dPt>
          <c:dPt>
            <c:idx val="4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AD0-4BCF-99E2-F06E6B570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Govt'!$AW$155:$BA$155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'Buildings - Govt'!$AW$156:$BA$156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0-4BCF-99E2-F06E6B57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2760920"/>
        <c:axId val="842761576"/>
      </c:barChart>
      <c:catAx>
        <c:axId val="84276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761576"/>
        <c:crosses val="autoZero"/>
        <c:auto val="1"/>
        <c:lblAlgn val="ctr"/>
        <c:lblOffset val="100"/>
        <c:noMultiLvlLbl val="0"/>
      </c:catAx>
      <c:valAx>
        <c:axId val="84276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76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6D-4F4E-8277-D99D734C204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6D-4F4E-8277-D99D734C204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6D-4F4E-8277-D99D734C20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Govt'!$AW$44:$BA$44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'Buildings - Govt'!$AW$45:$BA$45</c:f>
              <c:numCache>
                <c:formatCode>General</c:formatCode>
                <c:ptCount val="5"/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6D-4F4E-8277-D99D734C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578800"/>
        <c:axId val="847577160"/>
      </c:barChart>
      <c:catAx>
        <c:axId val="84757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7160"/>
        <c:crosses val="autoZero"/>
        <c:auto val="1"/>
        <c:lblAlgn val="ctr"/>
        <c:lblOffset val="100"/>
        <c:noMultiLvlLbl val="0"/>
      </c:catAx>
      <c:valAx>
        <c:axId val="84757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782407407407409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AB-4114-8C55-00F4F7E243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AB-4114-8C55-00F4F7E2431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AB-4114-8C55-00F4F7E243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Govt'!$AW$56:$BA$56</c:f>
              <c:numCache>
                <c:formatCode>General</c:formatCode>
                <c:ptCount val="5"/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cat>
          <c:val>
            <c:numRef>
              <c:f>'Buildings - Govt'!$AW$57:$BA$57</c:f>
              <c:numCache>
                <c:formatCode>General</c:formatCode>
                <c:ptCount val="5"/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AB-4114-8C55-00F4F7E2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578800"/>
        <c:axId val="847577160"/>
      </c:barChart>
      <c:catAx>
        <c:axId val="84757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7160"/>
        <c:crosses val="autoZero"/>
        <c:auto val="1"/>
        <c:lblAlgn val="ctr"/>
        <c:lblOffset val="100"/>
        <c:noMultiLvlLbl val="0"/>
      </c:catAx>
      <c:valAx>
        <c:axId val="84757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7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7-4631-9DA3-B4618FC9DF0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7-4631-9DA3-B4618FC9DF0C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07-4631-9DA3-B4618FC9DF0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07-4631-9DA3-B4618FC9DF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Govt'!$AW$69:$BA$69</c:f>
              <c:numCache>
                <c:formatCode>General</c:formatCode>
                <c:ptCount val="5"/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</c:numCache>
            </c:numRef>
          </c:cat>
          <c:val>
            <c:numRef>
              <c:f>'Buildings - Govt'!$AW$70:$BA$70</c:f>
              <c:numCache>
                <c:formatCode>General</c:formatCode>
                <c:ptCount val="5"/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07-4631-9DA3-B4618FC9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067320"/>
        <c:axId val="788064040"/>
      </c:barChart>
      <c:catAx>
        <c:axId val="78806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64040"/>
        <c:crosses val="autoZero"/>
        <c:auto val="1"/>
        <c:lblAlgn val="ctr"/>
        <c:lblOffset val="100"/>
        <c:noMultiLvlLbl val="0"/>
      </c:catAx>
      <c:valAx>
        <c:axId val="78806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6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10-4EAF-93BF-303E2E0F138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10-4EAF-93BF-303E2E0F138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10-4EAF-93BF-303E2E0F138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10-4EAF-93BF-303E2E0F1380}"/>
              </c:ext>
            </c:extLst>
          </c:dPt>
          <c:dPt>
            <c:idx val="4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10-4EAF-93BF-303E2E0F13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'Buildings - Govt'!$AW$155:$BA$155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'Buildings - Govt'!$AW$156:$BA$156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10-4EAF-93BF-303E2E0F1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2760920"/>
        <c:axId val="842761576"/>
      </c:barChart>
      <c:catAx>
        <c:axId val="84276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761576"/>
        <c:crosses val="autoZero"/>
        <c:auto val="1"/>
        <c:lblAlgn val="ctr"/>
        <c:lblOffset val="100"/>
        <c:noMultiLvlLbl val="0"/>
      </c:catAx>
      <c:valAx>
        <c:axId val="84276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76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eg"/><Relationship Id="rId51" Type="http://schemas.openxmlformats.org/officeDocument/2006/relationships/image" Target="../media/image51.JP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156104</xdr:colOff>
      <xdr:row>34</xdr:row>
      <xdr:rowOff>78317</xdr:rowOff>
    </xdr:from>
    <xdr:to>
      <xdr:col>61</xdr:col>
      <xdr:colOff>431270</xdr:colOff>
      <xdr:row>43</xdr:row>
      <xdr:rowOff>27517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A814C-0708-4B63-8959-AE43395E2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201083</xdr:colOff>
      <xdr:row>43</xdr:row>
      <xdr:rowOff>238127</xdr:rowOff>
    </xdr:from>
    <xdr:to>
      <xdr:col>61</xdr:col>
      <xdr:colOff>476249</xdr:colOff>
      <xdr:row>53</xdr:row>
      <xdr:rowOff>123827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859418-45F1-4B8F-A36F-C498D0000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611188</xdr:colOff>
      <xdr:row>61</xdr:row>
      <xdr:rowOff>99483</xdr:rowOff>
    </xdr:from>
    <xdr:to>
      <xdr:col>61</xdr:col>
      <xdr:colOff>272521</xdr:colOff>
      <xdr:row>69</xdr:row>
      <xdr:rowOff>302683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D043AB-3650-4365-A81F-815A5AF53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54</xdr:col>
      <xdr:colOff>87313</xdr:colOff>
      <xdr:row>153</xdr:row>
      <xdr:rowOff>83608</xdr:rowOff>
    </xdr:from>
    <xdr:to>
      <xdr:col>62</xdr:col>
      <xdr:colOff>362480</xdr:colOff>
      <xdr:row>162</xdr:row>
      <xdr:rowOff>286808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D8784B-BE8D-4AC1-9751-32F7458A9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156104</xdr:colOff>
      <xdr:row>33</xdr:row>
      <xdr:rowOff>78317</xdr:rowOff>
    </xdr:from>
    <xdr:to>
      <xdr:col>56</xdr:col>
      <xdr:colOff>431270</xdr:colOff>
      <xdr:row>42</xdr:row>
      <xdr:rowOff>27517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6DF3D3-BDCD-4BFE-931A-F6D377E83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201083</xdr:colOff>
      <xdr:row>42</xdr:row>
      <xdr:rowOff>238127</xdr:rowOff>
    </xdr:from>
    <xdr:to>
      <xdr:col>56</xdr:col>
      <xdr:colOff>476249</xdr:colOff>
      <xdr:row>52</xdr:row>
      <xdr:rowOff>123827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4F6603-0D6C-4337-94E8-6A397B81A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611188</xdr:colOff>
      <xdr:row>60</xdr:row>
      <xdr:rowOff>99483</xdr:rowOff>
    </xdr:from>
    <xdr:to>
      <xdr:col>56</xdr:col>
      <xdr:colOff>272521</xdr:colOff>
      <xdr:row>68</xdr:row>
      <xdr:rowOff>302683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21B215-F1AD-4997-B6F2-DE7FE6B81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53</xdr:col>
      <xdr:colOff>87313</xdr:colOff>
      <xdr:row>152</xdr:row>
      <xdr:rowOff>83608</xdr:rowOff>
    </xdr:from>
    <xdr:to>
      <xdr:col>57</xdr:col>
      <xdr:colOff>362480</xdr:colOff>
      <xdr:row>161</xdr:row>
      <xdr:rowOff>286808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367AF0-3C1B-4F9B-88DE-9B50EC303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861060</xdr:colOff>
      <xdr:row>68</xdr:row>
      <xdr:rowOff>99060</xdr:rowOff>
    </xdr:from>
    <xdr:to>
      <xdr:col>4</xdr:col>
      <xdr:colOff>1493733</xdr:colOff>
      <xdr:row>68</xdr:row>
      <xdr:rowOff>2259060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13741A-9944-42A4-8662-FC059D66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310" y="21631910"/>
          <a:ext cx="21854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1805940</xdr:colOff>
      <xdr:row>68</xdr:row>
      <xdr:rowOff>91440</xdr:rowOff>
    </xdr:from>
    <xdr:to>
      <xdr:col>4</xdr:col>
      <xdr:colOff>3962916</xdr:colOff>
      <xdr:row>68</xdr:row>
      <xdr:rowOff>2251440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FF72D-87A9-4075-8B9D-9FB4ADABC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590" y="2162429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876300</xdr:colOff>
      <xdr:row>30</xdr:row>
      <xdr:rowOff>114300</xdr:rowOff>
    </xdr:from>
    <xdr:to>
      <xdr:col>4</xdr:col>
      <xdr:colOff>1508973</xdr:colOff>
      <xdr:row>30</xdr:row>
      <xdr:rowOff>2274300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6D18A5-0109-4CBB-BC1D-6B0CE26F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0" y="5988050"/>
          <a:ext cx="21854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1775460</xdr:colOff>
      <xdr:row>30</xdr:row>
      <xdr:rowOff>137160</xdr:rowOff>
    </xdr:from>
    <xdr:to>
      <xdr:col>4</xdr:col>
      <xdr:colOff>3932436</xdr:colOff>
      <xdr:row>30</xdr:row>
      <xdr:rowOff>2297160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AB1FCA-49B5-485E-8993-70F799A4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0110" y="601091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twoCellAnchor>
  <xdr:oneCellAnchor>
    <xdr:from>
      <xdr:col>3</xdr:col>
      <xdr:colOff>876300</xdr:colOff>
      <xdr:row>31</xdr:row>
      <xdr:rowOff>129540</xdr:rowOff>
    </xdr:from>
    <xdr:ext cx="2160000" cy="2160000"/>
    <xdr:pic>
      <xdr:nvPicPr>
        <xdr:cNvPr id="6" name="Picture 5">
          <a:extLst>
            <a:ext uri="{FF2B5EF4-FFF2-40B4-BE49-F238E27FC236}">
              <a16:creationId xmlns:a16="http://schemas.microsoft.com/office/drawing/2014/main" id="{1F6996C2-B152-4D94-8F2A-30706F221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0" y="835279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1775460</xdr:colOff>
      <xdr:row>31</xdr:row>
      <xdr:rowOff>121920</xdr:rowOff>
    </xdr:from>
    <xdr:ext cx="2160000" cy="2160000"/>
    <xdr:pic>
      <xdr:nvPicPr>
        <xdr:cNvPr id="7" name="Picture 6">
          <a:extLst>
            <a:ext uri="{FF2B5EF4-FFF2-40B4-BE49-F238E27FC236}">
              <a16:creationId xmlns:a16="http://schemas.microsoft.com/office/drawing/2014/main" id="{9B3C9BF3-4335-44A6-9A71-E466B5A9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0110" y="834517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876300</xdr:colOff>
      <xdr:row>38</xdr:row>
      <xdr:rowOff>99060</xdr:rowOff>
    </xdr:from>
    <xdr:ext cx="2160000" cy="2160000"/>
    <xdr:pic>
      <xdr:nvPicPr>
        <xdr:cNvPr id="8" name="Picture 7">
          <a:extLst>
            <a:ext uri="{FF2B5EF4-FFF2-40B4-BE49-F238E27FC236}">
              <a16:creationId xmlns:a16="http://schemas.microsoft.com/office/drawing/2014/main" id="{EE061934-4149-4AE8-A841-4FF2DE6B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0" y="1177671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1821180</xdr:colOff>
      <xdr:row>38</xdr:row>
      <xdr:rowOff>114300</xdr:rowOff>
    </xdr:from>
    <xdr:ext cx="2160000" cy="2160000"/>
    <xdr:pic>
      <xdr:nvPicPr>
        <xdr:cNvPr id="9" name="Picture 8">
          <a:extLst>
            <a:ext uri="{FF2B5EF4-FFF2-40B4-BE49-F238E27FC236}">
              <a16:creationId xmlns:a16="http://schemas.microsoft.com/office/drawing/2014/main" id="{6C8579DB-3BC8-4095-8B11-1DAD3310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830" y="1179195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861060</xdr:colOff>
      <xdr:row>63</xdr:row>
      <xdr:rowOff>114300</xdr:rowOff>
    </xdr:from>
    <xdr:ext cx="2160000" cy="2160000"/>
    <xdr:pic>
      <xdr:nvPicPr>
        <xdr:cNvPr id="10" name="Picture 9">
          <a:extLst>
            <a:ext uri="{FF2B5EF4-FFF2-40B4-BE49-F238E27FC236}">
              <a16:creationId xmlns:a16="http://schemas.microsoft.com/office/drawing/2014/main" id="{2AC602EC-9DEE-4E74-B6EA-504A5763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310" y="1856105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1805940</xdr:colOff>
      <xdr:row>63</xdr:row>
      <xdr:rowOff>99060</xdr:rowOff>
    </xdr:from>
    <xdr:ext cx="2160000" cy="2160000"/>
    <xdr:pic>
      <xdr:nvPicPr>
        <xdr:cNvPr id="11" name="Picture 10">
          <a:extLst>
            <a:ext uri="{FF2B5EF4-FFF2-40B4-BE49-F238E27FC236}">
              <a16:creationId xmlns:a16="http://schemas.microsoft.com/office/drawing/2014/main" id="{52A7B5A2-9D2B-405B-A785-988417D02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590" y="1854581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723900</xdr:colOff>
      <xdr:row>129</xdr:row>
      <xdr:rowOff>129540</xdr:rowOff>
    </xdr:from>
    <xdr:ext cx="2160000" cy="2160000"/>
    <xdr:pic>
      <xdr:nvPicPr>
        <xdr:cNvPr id="12" name="Picture 11">
          <a:extLst>
            <a:ext uri="{FF2B5EF4-FFF2-40B4-BE49-F238E27FC236}">
              <a16:creationId xmlns:a16="http://schemas.microsoft.com/office/drawing/2014/main" id="{370BAC62-3BAD-4B06-AECB-4A34306E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150" y="3832479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1729740</xdr:colOff>
      <xdr:row>129</xdr:row>
      <xdr:rowOff>121920</xdr:rowOff>
    </xdr:from>
    <xdr:ext cx="2160000" cy="2160000"/>
    <xdr:pic>
      <xdr:nvPicPr>
        <xdr:cNvPr id="13" name="Picture 12">
          <a:extLst>
            <a:ext uri="{FF2B5EF4-FFF2-40B4-BE49-F238E27FC236}">
              <a16:creationId xmlns:a16="http://schemas.microsoft.com/office/drawing/2014/main" id="{D741AA1B-2E95-4818-A084-432656EF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390" y="38317170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701040</xdr:colOff>
      <xdr:row>107</xdr:row>
      <xdr:rowOff>84772</xdr:rowOff>
    </xdr:from>
    <xdr:ext cx="2160000" cy="2160000"/>
    <xdr:pic>
      <xdr:nvPicPr>
        <xdr:cNvPr id="14" name="Picture 13">
          <a:extLst>
            <a:ext uri="{FF2B5EF4-FFF2-40B4-BE49-F238E27FC236}">
              <a16:creationId xmlns:a16="http://schemas.microsoft.com/office/drawing/2014/main" id="{780E2EA5-612F-4182-8C4D-39C3FD0A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290" y="3188557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1737360</xdr:colOff>
      <xdr:row>107</xdr:row>
      <xdr:rowOff>75247</xdr:rowOff>
    </xdr:from>
    <xdr:ext cx="2160000" cy="2160000"/>
    <xdr:pic>
      <xdr:nvPicPr>
        <xdr:cNvPr id="15" name="Picture 14">
          <a:extLst>
            <a:ext uri="{FF2B5EF4-FFF2-40B4-BE49-F238E27FC236}">
              <a16:creationId xmlns:a16="http://schemas.microsoft.com/office/drawing/2014/main" id="{0828F7FC-6EA3-4C2C-9304-7133F6A6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10" y="3187604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731520</xdr:colOff>
      <xdr:row>130</xdr:row>
      <xdr:rowOff>92392</xdr:rowOff>
    </xdr:from>
    <xdr:ext cx="2160000" cy="2160000"/>
    <xdr:pic>
      <xdr:nvPicPr>
        <xdr:cNvPr id="16" name="Picture 15">
          <a:extLst>
            <a:ext uri="{FF2B5EF4-FFF2-40B4-BE49-F238E27FC236}">
              <a16:creationId xmlns:a16="http://schemas.microsoft.com/office/drawing/2014/main" id="{063DC6A3-3DDE-47ED-B2F6-F3AF4861B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70" y="4063714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1737360</xdr:colOff>
      <xdr:row>130</xdr:row>
      <xdr:rowOff>67627</xdr:rowOff>
    </xdr:from>
    <xdr:ext cx="2160000" cy="2160000"/>
    <xdr:pic>
      <xdr:nvPicPr>
        <xdr:cNvPr id="17" name="Picture 16">
          <a:extLst>
            <a:ext uri="{FF2B5EF4-FFF2-40B4-BE49-F238E27FC236}">
              <a16:creationId xmlns:a16="http://schemas.microsoft.com/office/drawing/2014/main" id="{A00AF2D4-1EDF-4D60-9D07-D8EAA1CC8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10" y="4061237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731520</xdr:colOff>
      <xdr:row>131</xdr:row>
      <xdr:rowOff>92392</xdr:rowOff>
    </xdr:from>
    <xdr:ext cx="2160000" cy="2160000"/>
    <xdr:pic>
      <xdr:nvPicPr>
        <xdr:cNvPr id="18" name="Picture 17">
          <a:extLst>
            <a:ext uri="{FF2B5EF4-FFF2-40B4-BE49-F238E27FC236}">
              <a16:creationId xmlns:a16="http://schemas.microsoft.com/office/drawing/2014/main" id="{F63ECAF1-EC5F-409F-96C3-55633372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70" y="4298664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1737360</xdr:colOff>
      <xdr:row>131</xdr:row>
      <xdr:rowOff>75247</xdr:rowOff>
    </xdr:from>
    <xdr:ext cx="2160000" cy="2160000"/>
    <xdr:pic>
      <xdr:nvPicPr>
        <xdr:cNvPr id="19" name="Picture 18">
          <a:extLst>
            <a:ext uri="{FF2B5EF4-FFF2-40B4-BE49-F238E27FC236}">
              <a16:creationId xmlns:a16="http://schemas.microsoft.com/office/drawing/2014/main" id="{FD13703F-7B79-4BF9-97CC-8C22CDF8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10" y="4296949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731520</xdr:colOff>
      <xdr:row>132</xdr:row>
      <xdr:rowOff>107632</xdr:rowOff>
    </xdr:from>
    <xdr:ext cx="2160000" cy="2160000"/>
    <xdr:pic>
      <xdr:nvPicPr>
        <xdr:cNvPr id="20" name="Picture 19">
          <a:extLst>
            <a:ext uri="{FF2B5EF4-FFF2-40B4-BE49-F238E27FC236}">
              <a16:creationId xmlns:a16="http://schemas.microsoft.com/office/drawing/2014/main" id="{D8E42389-3A57-4671-817A-82882AD3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70" y="4535138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1737360</xdr:colOff>
      <xdr:row>132</xdr:row>
      <xdr:rowOff>90487</xdr:rowOff>
    </xdr:from>
    <xdr:ext cx="2160000" cy="2160000"/>
    <xdr:pic>
      <xdr:nvPicPr>
        <xdr:cNvPr id="21" name="Picture 20">
          <a:extLst>
            <a:ext uri="{FF2B5EF4-FFF2-40B4-BE49-F238E27FC236}">
              <a16:creationId xmlns:a16="http://schemas.microsoft.com/office/drawing/2014/main" id="{695FF055-3079-452F-9711-536C30EF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10" y="4533423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731520</xdr:colOff>
      <xdr:row>133</xdr:row>
      <xdr:rowOff>107632</xdr:rowOff>
    </xdr:from>
    <xdr:ext cx="2160000" cy="2160000"/>
    <xdr:pic>
      <xdr:nvPicPr>
        <xdr:cNvPr id="22" name="Picture 21">
          <a:extLst>
            <a:ext uri="{FF2B5EF4-FFF2-40B4-BE49-F238E27FC236}">
              <a16:creationId xmlns:a16="http://schemas.microsoft.com/office/drawing/2014/main" id="{A32C5510-C345-495F-9096-4C17CB8AC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70" y="4770088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1737360</xdr:colOff>
      <xdr:row>133</xdr:row>
      <xdr:rowOff>75247</xdr:rowOff>
    </xdr:from>
    <xdr:ext cx="2160000" cy="2160000"/>
    <xdr:pic>
      <xdr:nvPicPr>
        <xdr:cNvPr id="23" name="Picture 22">
          <a:extLst>
            <a:ext uri="{FF2B5EF4-FFF2-40B4-BE49-F238E27FC236}">
              <a16:creationId xmlns:a16="http://schemas.microsoft.com/office/drawing/2014/main" id="{15F56E64-5770-4892-9FE4-19F5CA28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10" y="4766849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731520</xdr:colOff>
      <xdr:row>134</xdr:row>
      <xdr:rowOff>107632</xdr:rowOff>
    </xdr:from>
    <xdr:ext cx="2160000" cy="2160000"/>
    <xdr:pic>
      <xdr:nvPicPr>
        <xdr:cNvPr id="24" name="Picture 23">
          <a:extLst>
            <a:ext uri="{FF2B5EF4-FFF2-40B4-BE49-F238E27FC236}">
              <a16:creationId xmlns:a16="http://schemas.microsoft.com/office/drawing/2014/main" id="{ED75126B-1D23-4A96-9EEA-4098EA96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70" y="5005038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1737360</xdr:colOff>
      <xdr:row>134</xdr:row>
      <xdr:rowOff>75247</xdr:rowOff>
    </xdr:from>
    <xdr:ext cx="2160000" cy="2160000"/>
    <xdr:pic>
      <xdr:nvPicPr>
        <xdr:cNvPr id="25" name="Picture 24">
          <a:extLst>
            <a:ext uri="{FF2B5EF4-FFF2-40B4-BE49-F238E27FC236}">
              <a16:creationId xmlns:a16="http://schemas.microsoft.com/office/drawing/2014/main" id="{8F9BF26E-D47C-4ED4-8660-1AB4A2D11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10" y="5001799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708660</xdr:colOff>
      <xdr:row>137</xdr:row>
      <xdr:rowOff>92392</xdr:rowOff>
    </xdr:from>
    <xdr:ext cx="2160000" cy="2160000"/>
    <xdr:pic>
      <xdr:nvPicPr>
        <xdr:cNvPr id="26" name="Picture 25">
          <a:extLst>
            <a:ext uri="{FF2B5EF4-FFF2-40B4-BE49-F238E27FC236}">
              <a16:creationId xmlns:a16="http://schemas.microsoft.com/office/drawing/2014/main" id="{A029DF96-0914-4B66-955E-C0AB24B0C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910" y="5275294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1714500</xdr:colOff>
      <xdr:row>137</xdr:row>
      <xdr:rowOff>90487</xdr:rowOff>
    </xdr:from>
    <xdr:ext cx="2160000" cy="2160000"/>
    <xdr:pic>
      <xdr:nvPicPr>
        <xdr:cNvPr id="27" name="Picture 26">
          <a:extLst>
            <a:ext uri="{FF2B5EF4-FFF2-40B4-BE49-F238E27FC236}">
              <a16:creationId xmlns:a16="http://schemas.microsoft.com/office/drawing/2014/main" id="{FDAD036A-B662-494E-AA31-09C8AE1CB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9150" y="5275103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777240</xdr:colOff>
      <xdr:row>141</xdr:row>
      <xdr:rowOff>122872</xdr:rowOff>
    </xdr:from>
    <xdr:ext cx="2160000" cy="2160000"/>
    <xdr:pic>
      <xdr:nvPicPr>
        <xdr:cNvPr id="28" name="Picture 27">
          <a:extLst>
            <a:ext uri="{FF2B5EF4-FFF2-40B4-BE49-F238E27FC236}">
              <a16:creationId xmlns:a16="http://schemas.microsoft.com/office/drawing/2014/main" id="{573C5D15-EF38-4F8D-9B67-FC06F35F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490" y="5603462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1691640</xdr:colOff>
      <xdr:row>141</xdr:row>
      <xdr:rowOff>82867</xdr:rowOff>
    </xdr:from>
    <xdr:ext cx="2160000" cy="2160000"/>
    <xdr:pic>
      <xdr:nvPicPr>
        <xdr:cNvPr id="29" name="Picture 28">
          <a:extLst>
            <a:ext uri="{FF2B5EF4-FFF2-40B4-BE49-F238E27FC236}">
              <a16:creationId xmlns:a16="http://schemas.microsoft.com/office/drawing/2014/main" id="{4F25548F-7EBD-408A-9501-75459CEFD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290" y="5599461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777240</xdr:colOff>
      <xdr:row>142</xdr:row>
      <xdr:rowOff>122872</xdr:rowOff>
    </xdr:from>
    <xdr:ext cx="2160000" cy="2160000"/>
    <xdr:pic>
      <xdr:nvPicPr>
        <xdr:cNvPr id="30" name="Picture 29">
          <a:extLst>
            <a:ext uri="{FF2B5EF4-FFF2-40B4-BE49-F238E27FC236}">
              <a16:creationId xmlns:a16="http://schemas.microsoft.com/office/drawing/2014/main" id="{009C1C7E-C529-4BDF-B374-3CED7FEC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490" y="58384122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1691640</xdr:colOff>
      <xdr:row>142</xdr:row>
      <xdr:rowOff>82867</xdr:rowOff>
    </xdr:from>
    <xdr:ext cx="2160000" cy="2160000"/>
    <xdr:pic>
      <xdr:nvPicPr>
        <xdr:cNvPr id="31" name="Picture 30">
          <a:extLst>
            <a:ext uri="{FF2B5EF4-FFF2-40B4-BE49-F238E27FC236}">
              <a16:creationId xmlns:a16="http://schemas.microsoft.com/office/drawing/2014/main" id="{9AC715E7-2A41-4220-8BBC-F3645253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290" y="58344117"/>
          <a:ext cx="216000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518160</xdr:colOff>
      <xdr:row>149</xdr:row>
      <xdr:rowOff>107632</xdr:rowOff>
    </xdr:from>
    <xdr:ext cx="2457180" cy="2160000"/>
    <xdr:pic>
      <xdr:nvPicPr>
        <xdr:cNvPr id="32" name="Picture 31">
          <a:extLst>
            <a:ext uri="{FF2B5EF4-FFF2-40B4-BE49-F238E27FC236}">
              <a16:creationId xmlns:a16="http://schemas.microsoft.com/office/drawing/2014/main" id="{7DBE3593-68F4-460E-8042-2AED4CAE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410" y="61823282"/>
          <a:ext cx="245718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1653540</xdr:colOff>
      <xdr:row>149</xdr:row>
      <xdr:rowOff>105727</xdr:rowOff>
    </xdr:from>
    <xdr:ext cx="2327640" cy="2160000"/>
    <xdr:pic>
      <xdr:nvPicPr>
        <xdr:cNvPr id="33" name="Picture 32">
          <a:extLst>
            <a:ext uri="{FF2B5EF4-FFF2-40B4-BE49-F238E27FC236}">
              <a16:creationId xmlns:a16="http://schemas.microsoft.com/office/drawing/2014/main" id="{8258F387-4FD4-47D0-AB60-ED38CFE3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190" y="61821377"/>
          <a:ext cx="2327640" cy="216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480060</xdr:colOff>
      <xdr:row>156</xdr:row>
      <xdr:rowOff>84772</xdr:rowOff>
    </xdr:from>
    <xdr:ext cx="2400000" cy="1800000"/>
    <xdr:pic>
      <xdr:nvPicPr>
        <xdr:cNvPr id="34" name="Picture 33">
          <a:extLst>
            <a:ext uri="{FF2B5EF4-FFF2-40B4-BE49-F238E27FC236}">
              <a16:creationId xmlns:a16="http://schemas.microsoft.com/office/drawing/2014/main" id="{579AA305-F234-424B-8907-617BFD4D9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5310" y="6560407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1562100</xdr:colOff>
      <xdr:row>156</xdr:row>
      <xdr:rowOff>75247</xdr:rowOff>
    </xdr:from>
    <xdr:ext cx="2400000" cy="1800000"/>
    <xdr:pic>
      <xdr:nvPicPr>
        <xdr:cNvPr id="35" name="Picture 34">
          <a:extLst>
            <a:ext uri="{FF2B5EF4-FFF2-40B4-BE49-F238E27FC236}">
              <a16:creationId xmlns:a16="http://schemas.microsoft.com/office/drawing/2014/main" id="{F78677BA-7C2E-43BC-8005-AB5956E08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6750" y="6559454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472440</xdr:colOff>
      <xdr:row>157</xdr:row>
      <xdr:rowOff>77152</xdr:rowOff>
    </xdr:from>
    <xdr:ext cx="2400000" cy="1800000"/>
    <xdr:pic>
      <xdr:nvPicPr>
        <xdr:cNvPr id="36" name="Picture 35">
          <a:extLst>
            <a:ext uri="{FF2B5EF4-FFF2-40B4-BE49-F238E27FC236}">
              <a16:creationId xmlns:a16="http://schemas.microsoft.com/office/drawing/2014/main" id="{269C5F58-7C92-425A-BB54-E5ED97D5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690" y="6762845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1569720</xdr:colOff>
      <xdr:row>157</xdr:row>
      <xdr:rowOff>105727</xdr:rowOff>
    </xdr:from>
    <xdr:ext cx="2400000" cy="1800000"/>
    <xdr:pic>
      <xdr:nvPicPr>
        <xdr:cNvPr id="37" name="Picture 36">
          <a:extLst>
            <a:ext uri="{FF2B5EF4-FFF2-40B4-BE49-F238E27FC236}">
              <a16:creationId xmlns:a16="http://schemas.microsoft.com/office/drawing/2014/main" id="{BE7D3D1D-792C-4006-8CCB-311E65FF4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370" y="6765702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396240</xdr:colOff>
      <xdr:row>162</xdr:row>
      <xdr:rowOff>77152</xdr:rowOff>
    </xdr:from>
    <xdr:ext cx="2387600" cy="1800000"/>
    <xdr:pic>
      <xdr:nvPicPr>
        <xdr:cNvPr id="38" name="Picture 37">
          <a:extLst>
            <a:ext uri="{FF2B5EF4-FFF2-40B4-BE49-F238E27FC236}">
              <a16:creationId xmlns:a16="http://schemas.microsoft.com/office/drawing/2014/main" id="{DC7F5188-D75A-4208-8888-7ECAE645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490" y="70397052"/>
          <a:ext cx="23876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1569720</xdr:colOff>
      <xdr:row>162</xdr:row>
      <xdr:rowOff>105727</xdr:rowOff>
    </xdr:from>
    <xdr:ext cx="2400000" cy="1800000"/>
    <xdr:pic>
      <xdr:nvPicPr>
        <xdr:cNvPr id="39" name="Picture 38">
          <a:extLst>
            <a:ext uri="{FF2B5EF4-FFF2-40B4-BE49-F238E27FC236}">
              <a16:creationId xmlns:a16="http://schemas.microsoft.com/office/drawing/2014/main" id="{94A80219-AD99-401A-9DBC-7D77FE42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370" y="7042562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449580</xdr:colOff>
      <xdr:row>167</xdr:row>
      <xdr:rowOff>107632</xdr:rowOff>
    </xdr:from>
    <xdr:ext cx="2400000" cy="1800000"/>
    <xdr:pic>
      <xdr:nvPicPr>
        <xdr:cNvPr id="40" name="Picture 39">
          <a:extLst>
            <a:ext uri="{FF2B5EF4-FFF2-40B4-BE49-F238E27FC236}">
              <a16:creationId xmlns:a16="http://schemas.microsoft.com/office/drawing/2014/main" id="{8772E435-A5D2-4DFA-AD1F-9046D1041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4830" y="7319613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1569720</xdr:colOff>
      <xdr:row>167</xdr:row>
      <xdr:rowOff>113347</xdr:rowOff>
    </xdr:from>
    <xdr:ext cx="2400000" cy="1800000"/>
    <xdr:pic>
      <xdr:nvPicPr>
        <xdr:cNvPr id="41" name="Picture 40">
          <a:extLst>
            <a:ext uri="{FF2B5EF4-FFF2-40B4-BE49-F238E27FC236}">
              <a16:creationId xmlns:a16="http://schemas.microsoft.com/office/drawing/2014/main" id="{018652EA-A7BA-46F9-AA4E-710FFE69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370" y="7320184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373380</xdr:colOff>
      <xdr:row>173</xdr:row>
      <xdr:rowOff>100012</xdr:rowOff>
    </xdr:from>
    <xdr:ext cx="2400000" cy="1800000"/>
    <xdr:pic>
      <xdr:nvPicPr>
        <xdr:cNvPr id="42" name="Picture 41">
          <a:extLst>
            <a:ext uri="{FF2B5EF4-FFF2-40B4-BE49-F238E27FC236}">
              <a16:creationId xmlns:a16="http://schemas.microsoft.com/office/drawing/2014/main" id="{4AF4E171-3C54-4CDC-A211-027E55BF2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630" y="7614126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1394460</xdr:colOff>
      <xdr:row>173</xdr:row>
      <xdr:rowOff>90487</xdr:rowOff>
    </xdr:from>
    <xdr:ext cx="2565400" cy="1800000"/>
    <xdr:pic>
      <xdr:nvPicPr>
        <xdr:cNvPr id="43" name="Picture 42">
          <a:extLst>
            <a:ext uri="{FF2B5EF4-FFF2-40B4-BE49-F238E27FC236}">
              <a16:creationId xmlns:a16="http://schemas.microsoft.com/office/drawing/2014/main" id="{10672F32-186A-4333-BD61-2CACFE96B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110" y="76131737"/>
          <a:ext cx="25654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381000</xdr:colOff>
      <xdr:row>178</xdr:row>
      <xdr:rowOff>77152</xdr:rowOff>
    </xdr:from>
    <xdr:ext cx="2400000" cy="1800000"/>
    <xdr:pic>
      <xdr:nvPicPr>
        <xdr:cNvPr id="44" name="Picture 43">
          <a:extLst>
            <a:ext uri="{FF2B5EF4-FFF2-40B4-BE49-F238E27FC236}">
              <a16:creationId xmlns:a16="http://schemas.microsoft.com/office/drawing/2014/main" id="{1825E976-86D3-42C0-8490-D6E5AFB63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0" y="7888700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1562280</xdr:colOff>
      <xdr:row>178</xdr:row>
      <xdr:rowOff>90487</xdr:rowOff>
    </xdr:from>
    <xdr:ext cx="2400000" cy="1800000"/>
    <xdr:pic>
      <xdr:nvPicPr>
        <xdr:cNvPr id="45" name="Picture 44">
          <a:extLst>
            <a:ext uri="{FF2B5EF4-FFF2-40B4-BE49-F238E27FC236}">
              <a16:creationId xmlns:a16="http://schemas.microsoft.com/office/drawing/2014/main" id="{8EF2D3A4-91A5-46DB-94B2-E5AA6E98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6930" y="7890033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495300</xdr:colOff>
      <xdr:row>185</xdr:row>
      <xdr:rowOff>100012</xdr:rowOff>
    </xdr:from>
    <xdr:ext cx="2400000" cy="1800000"/>
    <xdr:pic>
      <xdr:nvPicPr>
        <xdr:cNvPr id="46" name="Picture 45">
          <a:extLst>
            <a:ext uri="{FF2B5EF4-FFF2-40B4-BE49-F238E27FC236}">
              <a16:creationId xmlns:a16="http://schemas.microsoft.com/office/drawing/2014/main" id="{DBFDD9B9-5188-47F2-BA4D-5FAE84210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204676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1615620</xdr:colOff>
      <xdr:row>185</xdr:row>
      <xdr:rowOff>90487</xdr:rowOff>
    </xdr:from>
    <xdr:ext cx="2400000" cy="1800000"/>
    <xdr:pic>
      <xdr:nvPicPr>
        <xdr:cNvPr id="47" name="Picture 46">
          <a:extLst>
            <a:ext uri="{FF2B5EF4-FFF2-40B4-BE49-F238E27FC236}">
              <a16:creationId xmlns:a16="http://schemas.microsoft.com/office/drawing/2014/main" id="{FBF199E3-37AA-49D2-A832-2F7D7280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270" y="8203723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495300</xdr:colOff>
      <xdr:row>186</xdr:row>
      <xdr:rowOff>100012</xdr:rowOff>
    </xdr:from>
    <xdr:ext cx="2400000" cy="1800000"/>
    <xdr:pic>
      <xdr:nvPicPr>
        <xdr:cNvPr id="48" name="Picture 47">
          <a:extLst>
            <a:ext uri="{FF2B5EF4-FFF2-40B4-BE49-F238E27FC236}">
              <a16:creationId xmlns:a16="http://schemas.microsoft.com/office/drawing/2014/main" id="{AE8F4AAC-AD33-45D3-A96B-E8E713A4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407876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1615620</xdr:colOff>
      <xdr:row>186</xdr:row>
      <xdr:rowOff>90487</xdr:rowOff>
    </xdr:from>
    <xdr:ext cx="2400000" cy="1800000"/>
    <xdr:pic>
      <xdr:nvPicPr>
        <xdr:cNvPr id="49" name="Picture 48">
          <a:extLst>
            <a:ext uri="{FF2B5EF4-FFF2-40B4-BE49-F238E27FC236}">
              <a16:creationId xmlns:a16="http://schemas.microsoft.com/office/drawing/2014/main" id="{D50318FA-BFB9-461A-A47B-9E48B6B66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270" y="84069237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373380</xdr:colOff>
      <xdr:row>194</xdr:row>
      <xdr:rowOff>100012</xdr:rowOff>
    </xdr:from>
    <xdr:ext cx="2400000" cy="1800000"/>
    <xdr:pic>
      <xdr:nvPicPr>
        <xdr:cNvPr id="50" name="Picture 49">
          <a:extLst>
            <a:ext uri="{FF2B5EF4-FFF2-40B4-BE49-F238E27FC236}">
              <a16:creationId xmlns:a16="http://schemas.microsoft.com/office/drawing/2014/main" id="{DFAA451C-F5E0-4B97-A1E4-F8F0A7DF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630" y="8739981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1455420</xdr:colOff>
      <xdr:row>194</xdr:row>
      <xdr:rowOff>105727</xdr:rowOff>
    </xdr:from>
    <xdr:ext cx="2522100" cy="1800000"/>
    <xdr:pic>
      <xdr:nvPicPr>
        <xdr:cNvPr id="51" name="Picture 50">
          <a:extLst>
            <a:ext uri="{FF2B5EF4-FFF2-40B4-BE49-F238E27FC236}">
              <a16:creationId xmlns:a16="http://schemas.microsoft.com/office/drawing/2014/main" id="{AFA167D2-625B-4DC1-AFB3-FB07667D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070" y="87405527"/>
          <a:ext cx="25221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358140</xdr:colOff>
      <xdr:row>195</xdr:row>
      <xdr:rowOff>77152</xdr:rowOff>
    </xdr:from>
    <xdr:ext cx="2400000" cy="1800000"/>
    <xdr:pic>
      <xdr:nvPicPr>
        <xdr:cNvPr id="52" name="Picture 51">
          <a:extLst>
            <a:ext uri="{FF2B5EF4-FFF2-40B4-BE49-F238E27FC236}">
              <a16:creationId xmlns:a16="http://schemas.microsoft.com/office/drawing/2014/main" id="{60F55E88-53F3-458C-A69F-B009B3F3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390" y="8940895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1455420</xdr:colOff>
      <xdr:row>195</xdr:row>
      <xdr:rowOff>82867</xdr:rowOff>
    </xdr:from>
    <xdr:ext cx="2522100" cy="1800000"/>
    <xdr:pic>
      <xdr:nvPicPr>
        <xdr:cNvPr id="53" name="Picture 52">
          <a:extLst>
            <a:ext uri="{FF2B5EF4-FFF2-40B4-BE49-F238E27FC236}">
              <a16:creationId xmlns:a16="http://schemas.microsoft.com/office/drawing/2014/main" id="{5315ECF4-E497-49CD-93A5-BF4CE5DB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070" y="89414667"/>
          <a:ext cx="25221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358140</xdr:colOff>
      <xdr:row>199</xdr:row>
      <xdr:rowOff>92392</xdr:rowOff>
    </xdr:from>
    <xdr:ext cx="2387600" cy="1800000"/>
    <xdr:pic>
      <xdr:nvPicPr>
        <xdr:cNvPr id="54" name="Picture 53">
          <a:extLst>
            <a:ext uri="{FF2B5EF4-FFF2-40B4-BE49-F238E27FC236}">
              <a16:creationId xmlns:a16="http://schemas.microsoft.com/office/drawing/2014/main" id="{52B5DFB5-35BE-4E4D-A501-42CFC5D5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390" y="92008642"/>
          <a:ext cx="23876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1417296</xdr:colOff>
      <xdr:row>199</xdr:row>
      <xdr:rowOff>113347</xdr:rowOff>
    </xdr:from>
    <xdr:ext cx="2597150" cy="1800000"/>
    <xdr:pic>
      <xdr:nvPicPr>
        <xdr:cNvPr id="55" name="Picture 54">
          <a:extLst>
            <a:ext uri="{FF2B5EF4-FFF2-40B4-BE49-F238E27FC236}">
              <a16:creationId xmlns:a16="http://schemas.microsoft.com/office/drawing/2014/main" id="{9A199B8B-0A64-4ED4-8A87-998F90D46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1946" y="92029597"/>
          <a:ext cx="259715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213360</xdr:colOff>
      <xdr:row>206</xdr:row>
      <xdr:rowOff>105592</xdr:rowOff>
    </xdr:from>
    <xdr:ext cx="2400000" cy="1800000"/>
    <xdr:pic>
      <xdr:nvPicPr>
        <xdr:cNvPr id="56" name="Picture 55">
          <a:extLst>
            <a:ext uri="{FF2B5EF4-FFF2-40B4-BE49-F238E27FC236}">
              <a16:creationId xmlns:a16="http://schemas.microsoft.com/office/drawing/2014/main" id="{D3591904-678E-41EB-905B-D450BEDF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8610" y="9515874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1303020</xdr:colOff>
      <xdr:row>206</xdr:row>
      <xdr:rowOff>105727</xdr:rowOff>
    </xdr:from>
    <xdr:ext cx="2659380" cy="1800000"/>
    <xdr:pic>
      <xdr:nvPicPr>
        <xdr:cNvPr id="57" name="Picture 56">
          <a:extLst>
            <a:ext uri="{FF2B5EF4-FFF2-40B4-BE49-F238E27FC236}">
              <a16:creationId xmlns:a16="http://schemas.microsoft.com/office/drawing/2014/main" id="{F2D6757C-220E-41BB-95FA-6AB2BD04A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7670" y="95158877"/>
          <a:ext cx="265938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152400</xdr:colOff>
      <xdr:row>212</xdr:row>
      <xdr:rowOff>67492</xdr:rowOff>
    </xdr:from>
    <xdr:ext cx="2400000" cy="1800000"/>
    <xdr:pic>
      <xdr:nvPicPr>
        <xdr:cNvPr id="58" name="Picture 57">
          <a:extLst>
            <a:ext uri="{FF2B5EF4-FFF2-40B4-BE49-F238E27FC236}">
              <a16:creationId xmlns:a16="http://schemas.microsoft.com/office/drawing/2014/main" id="{68A86702-6CD1-4E6C-863F-49CAF49F2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0" y="9807339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1203936</xdr:colOff>
      <xdr:row>212</xdr:row>
      <xdr:rowOff>67627</xdr:rowOff>
    </xdr:from>
    <xdr:ext cx="2749550" cy="1800000"/>
    <xdr:pic>
      <xdr:nvPicPr>
        <xdr:cNvPr id="59" name="Picture 58">
          <a:extLst>
            <a:ext uri="{FF2B5EF4-FFF2-40B4-BE49-F238E27FC236}">
              <a16:creationId xmlns:a16="http://schemas.microsoft.com/office/drawing/2014/main" id="{868C0ACA-C784-430B-B908-3A8C5030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586" y="98073527"/>
          <a:ext cx="274955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3</xdr:col>
      <xdr:colOff>152400</xdr:colOff>
      <xdr:row>213</xdr:row>
      <xdr:rowOff>67492</xdr:rowOff>
    </xdr:from>
    <xdr:ext cx="2400000" cy="1800000"/>
    <xdr:pic>
      <xdr:nvPicPr>
        <xdr:cNvPr id="60" name="Picture 59">
          <a:extLst>
            <a:ext uri="{FF2B5EF4-FFF2-40B4-BE49-F238E27FC236}">
              <a16:creationId xmlns:a16="http://schemas.microsoft.com/office/drawing/2014/main" id="{E0C0ACC2-4BFC-428A-8889-DD7F7672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0" y="100105392"/>
          <a:ext cx="24000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  <xdr:oneCellAnchor>
    <xdr:from>
      <xdr:col>4</xdr:col>
      <xdr:colOff>1196340</xdr:colOff>
      <xdr:row>213</xdr:row>
      <xdr:rowOff>67627</xdr:rowOff>
    </xdr:from>
    <xdr:ext cx="2755900" cy="1800000"/>
    <xdr:pic>
      <xdr:nvPicPr>
        <xdr:cNvPr id="61" name="Picture 60">
          <a:extLst>
            <a:ext uri="{FF2B5EF4-FFF2-40B4-BE49-F238E27FC236}">
              <a16:creationId xmlns:a16="http://schemas.microsoft.com/office/drawing/2014/main" id="{81D5ACED-1F32-430A-B484-6CB856C51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0990" y="100105527"/>
          <a:ext cx="2755900" cy="180000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12"/>
  <sheetViews>
    <sheetView tabSelected="1" zoomScale="120" zoomScaleNormal="12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81640625" defaultRowHeight="14" x14ac:dyDescent="0.3"/>
  <cols>
    <col min="1" max="1" width="3.453125" style="108" customWidth="1"/>
    <col min="2" max="2" width="11.36328125" style="279" customWidth="1"/>
    <col min="3" max="3" width="13.81640625" style="280" customWidth="1"/>
    <col min="4" max="4" width="13.81640625" style="281" customWidth="1"/>
    <col min="5" max="5" width="29.36328125" style="279" customWidth="1"/>
    <col min="6" max="6" width="16.1796875" style="109" customWidth="1"/>
    <col min="7" max="7" width="19" style="109" customWidth="1"/>
    <col min="8" max="8" width="60.36328125" style="279" customWidth="1"/>
    <col min="9" max="9" width="12.1796875" style="109" customWidth="1"/>
    <col min="10" max="10" width="18.6328125" style="109" customWidth="1"/>
    <col min="11" max="11" width="44.36328125" style="279" customWidth="1"/>
    <col min="12" max="12" width="10.1796875" style="109" customWidth="1"/>
    <col min="13" max="13" width="23.81640625" style="279" customWidth="1"/>
    <col min="14" max="14" width="18.6328125" style="279" customWidth="1"/>
    <col min="15" max="15" width="32.6328125" style="279" customWidth="1"/>
    <col min="16" max="16" width="26.6328125" style="109" customWidth="1"/>
    <col min="17" max="17" width="35.6328125" style="109" customWidth="1"/>
    <col min="18" max="18" width="16.453125" style="109" customWidth="1"/>
    <col min="19" max="24" width="10.81640625" style="109" customWidth="1"/>
    <col min="25" max="25" width="11.81640625" style="109" customWidth="1"/>
    <col min="26" max="26" width="10.81640625" style="109" customWidth="1"/>
    <col min="27" max="27" width="13.6328125" style="109" customWidth="1"/>
    <col min="28" max="28" width="10.81640625" style="109" customWidth="1"/>
    <col min="29" max="29" width="16.36328125" style="109" customWidth="1"/>
    <col min="30" max="30" width="12.81640625" style="109" customWidth="1"/>
    <col min="31" max="32" width="13.81640625" style="109" customWidth="1"/>
    <col min="33" max="35" width="12.6328125" style="282" customWidth="1"/>
    <col min="36" max="44" width="8.81640625" style="108" customWidth="1"/>
    <col min="45" max="45" width="12.81640625" style="108" customWidth="1"/>
    <col min="46" max="49" width="8.81640625" style="108"/>
    <col min="50" max="50" width="10.453125" style="108" customWidth="1"/>
    <col min="51" max="56" width="8.81640625" style="108"/>
    <col min="57" max="57" width="12" style="108" customWidth="1"/>
    <col min="58" max="58" width="8.81640625" style="108"/>
    <col min="59" max="59" width="12.1796875" style="108" customWidth="1"/>
    <col min="60" max="61" width="8.81640625" style="108"/>
    <col min="62" max="62" width="10.453125" style="108" customWidth="1"/>
    <col min="63" max="68" width="8.81640625" style="108"/>
    <col min="69" max="69" width="12" style="108" customWidth="1"/>
    <col min="70" max="70" width="8.81640625" style="108"/>
    <col min="71" max="71" width="12.1796875" style="108" customWidth="1"/>
    <col min="72" max="16384" width="8.81640625" style="108"/>
  </cols>
  <sheetData>
    <row r="1" spans="1:72" s="458" customFormat="1" ht="20" x14ac:dyDescent="0.4">
      <c r="B1" s="462" t="s">
        <v>2704</v>
      </c>
      <c r="C1" s="462"/>
      <c r="D1" s="462"/>
      <c r="E1" s="462"/>
      <c r="F1" s="462"/>
      <c r="G1" s="462"/>
      <c r="H1" s="462"/>
      <c r="I1" s="460"/>
      <c r="J1" s="460"/>
      <c r="K1" s="459"/>
      <c r="L1" s="460"/>
      <c r="M1" s="459"/>
      <c r="N1" s="459"/>
      <c r="O1" s="459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1"/>
      <c r="AH1" s="461"/>
      <c r="AI1" s="461"/>
      <c r="AS1" s="458">
        <v>2500</v>
      </c>
    </row>
    <row r="2" spans="1:72" ht="14.5" customHeight="1" x14ac:dyDescent="0.3">
      <c r="F2" s="283"/>
      <c r="G2" s="283"/>
      <c r="L2" s="464"/>
      <c r="M2" s="465"/>
      <c r="N2" s="465"/>
      <c r="O2" s="465"/>
      <c r="P2" s="465"/>
      <c r="Q2" s="466"/>
      <c r="R2" s="109" t="s">
        <v>108</v>
      </c>
      <c r="AC2" s="284">
        <v>2500</v>
      </c>
      <c r="AD2" s="285">
        <v>5.0000000000000001E-3</v>
      </c>
      <c r="AJ2" s="286">
        <v>0.1</v>
      </c>
      <c r="AK2" s="286">
        <v>0.2</v>
      </c>
      <c r="AL2" s="286">
        <v>0.1</v>
      </c>
      <c r="AM2" s="286">
        <v>0.1</v>
      </c>
      <c r="AN2" s="286">
        <v>0.1</v>
      </c>
      <c r="AO2" s="286">
        <v>0.2</v>
      </c>
      <c r="AP2" s="286">
        <v>7.0000000000000007E-2</v>
      </c>
      <c r="AQ2" s="286">
        <v>0.06</v>
      </c>
      <c r="AR2" s="286">
        <v>7.0000000000000007E-2</v>
      </c>
      <c r="AS2" s="108">
        <f>SUM(AJ2:AR2)</f>
        <v>1.0000000000000002</v>
      </c>
      <c r="AX2" s="109">
        <v>3</v>
      </c>
      <c r="AY2" s="109">
        <v>5</v>
      </c>
      <c r="AZ2" s="109">
        <v>2</v>
      </c>
      <c r="BA2" s="109">
        <v>1</v>
      </c>
      <c r="BB2" s="109">
        <v>1</v>
      </c>
      <c r="BC2" s="109">
        <v>1</v>
      </c>
      <c r="BD2" s="109">
        <v>1</v>
      </c>
      <c r="BE2" s="109">
        <v>1</v>
      </c>
      <c r="BF2" s="109">
        <v>1</v>
      </c>
      <c r="BG2" s="109">
        <v>4</v>
      </c>
      <c r="BJ2" s="109">
        <v>3</v>
      </c>
      <c r="BK2" s="109">
        <v>5</v>
      </c>
      <c r="BL2" s="109">
        <v>2</v>
      </c>
      <c r="BM2" s="109">
        <v>1</v>
      </c>
      <c r="BN2" s="109">
        <v>1</v>
      </c>
      <c r="BO2" s="109">
        <v>1</v>
      </c>
      <c r="BP2" s="109">
        <v>1</v>
      </c>
      <c r="BQ2" s="109">
        <v>1</v>
      </c>
      <c r="BR2" s="109">
        <v>1</v>
      </c>
      <c r="BS2" s="109">
        <v>4</v>
      </c>
    </row>
    <row r="3" spans="1:72" ht="42" x14ac:dyDescent="0.3">
      <c r="B3" s="287" t="s">
        <v>20</v>
      </c>
      <c r="C3" s="149" t="s">
        <v>0</v>
      </c>
      <c r="D3" s="149" t="s">
        <v>1</v>
      </c>
      <c r="E3" s="161" t="s">
        <v>2</v>
      </c>
      <c r="F3" s="467" t="s">
        <v>317</v>
      </c>
      <c r="G3" s="468"/>
      <c r="H3" s="162" t="s">
        <v>3</v>
      </c>
      <c r="I3" s="153" t="s">
        <v>11</v>
      </c>
      <c r="J3" s="153" t="s">
        <v>12</v>
      </c>
      <c r="K3" s="153" t="s">
        <v>74</v>
      </c>
      <c r="L3" s="151" t="s">
        <v>21</v>
      </c>
      <c r="M3" s="151" t="s">
        <v>4</v>
      </c>
      <c r="N3" s="151" t="s">
        <v>5</v>
      </c>
      <c r="O3" s="151" t="s">
        <v>7</v>
      </c>
      <c r="P3" s="151" t="s">
        <v>10</v>
      </c>
      <c r="Q3" s="151" t="s">
        <v>8</v>
      </c>
      <c r="R3" s="152" t="s">
        <v>9</v>
      </c>
      <c r="S3" s="152" t="s">
        <v>13</v>
      </c>
      <c r="T3" s="152" t="s">
        <v>6</v>
      </c>
      <c r="U3" s="152" t="s">
        <v>14</v>
      </c>
      <c r="V3" s="152" t="s">
        <v>15</v>
      </c>
      <c r="W3" s="152" t="s">
        <v>16</v>
      </c>
      <c r="X3" s="152" t="s">
        <v>17</v>
      </c>
      <c r="Y3" s="152" t="s">
        <v>18</v>
      </c>
      <c r="Z3" s="163" t="s">
        <v>19</v>
      </c>
      <c r="AA3" s="153" t="s">
        <v>135</v>
      </c>
      <c r="AB3" s="149" t="s">
        <v>1969</v>
      </c>
      <c r="AC3" s="288" t="s">
        <v>1970</v>
      </c>
      <c r="AD3" s="288" t="s">
        <v>1971</v>
      </c>
      <c r="AE3" s="289"/>
      <c r="AJ3" s="290" t="s">
        <v>9</v>
      </c>
      <c r="AK3" s="290" t="s">
        <v>13</v>
      </c>
      <c r="AL3" s="290" t="s">
        <v>6</v>
      </c>
      <c r="AM3" s="290" t="s">
        <v>14</v>
      </c>
      <c r="AN3" s="290" t="s">
        <v>15</v>
      </c>
      <c r="AO3" s="290" t="s">
        <v>16</v>
      </c>
      <c r="AP3" s="290" t="s">
        <v>17</v>
      </c>
      <c r="AQ3" s="290" t="s">
        <v>18</v>
      </c>
      <c r="AR3" s="291" t="s">
        <v>19</v>
      </c>
      <c r="AS3" s="292" t="s">
        <v>1621</v>
      </c>
      <c r="AX3" s="290" t="s">
        <v>9</v>
      </c>
      <c r="AY3" s="290" t="s">
        <v>13</v>
      </c>
      <c r="AZ3" s="290" t="s">
        <v>6</v>
      </c>
      <c r="BA3" s="290" t="s">
        <v>14</v>
      </c>
      <c r="BB3" s="290" t="s">
        <v>15</v>
      </c>
      <c r="BC3" s="290" t="s">
        <v>16</v>
      </c>
      <c r="BD3" s="290" t="s">
        <v>17</v>
      </c>
      <c r="BE3" s="290" t="s">
        <v>18</v>
      </c>
      <c r="BF3" s="291" t="s">
        <v>19</v>
      </c>
      <c r="BG3" s="293" t="s">
        <v>135</v>
      </c>
      <c r="BH3" s="292" t="s">
        <v>1976</v>
      </c>
      <c r="BI3" s="292"/>
      <c r="BJ3" s="290" t="s">
        <v>9</v>
      </c>
      <c r="BK3" s="290" t="s">
        <v>13</v>
      </c>
      <c r="BL3" s="290" t="s">
        <v>6</v>
      </c>
      <c r="BM3" s="290" t="s">
        <v>14</v>
      </c>
      <c r="BN3" s="290" t="s">
        <v>15</v>
      </c>
      <c r="BO3" s="290" t="s">
        <v>16</v>
      </c>
      <c r="BP3" s="290" t="s">
        <v>17</v>
      </c>
      <c r="BQ3" s="290" t="s">
        <v>18</v>
      </c>
      <c r="BR3" s="291" t="s">
        <v>19</v>
      </c>
      <c r="BS3" s="293" t="s">
        <v>135</v>
      </c>
      <c r="BT3" s="292" t="s">
        <v>1975</v>
      </c>
    </row>
    <row r="4" spans="1:72" ht="25" customHeight="1" x14ac:dyDescent="0.3">
      <c r="A4" s="185"/>
      <c r="B4" s="116" t="s">
        <v>1626</v>
      </c>
      <c r="C4" s="126" t="s">
        <v>1627</v>
      </c>
      <c r="D4" s="124" t="s">
        <v>1628</v>
      </c>
      <c r="E4" s="294" t="s">
        <v>1253</v>
      </c>
      <c r="F4" s="111">
        <f>8+4/60+57/3600</f>
        <v>8.0824999999999996</v>
      </c>
      <c r="G4" s="111">
        <f>134+43/60+2/3600</f>
        <v>134.71722222222223</v>
      </c>
      <c r="H4" s="295" t="s">
        <v>1629</v>
      </c>
      <c r="I4" s="112">
        <v>2002</v>
      </c>
      <c r="J4" s="112" t="s">
        <v>311</v>
      </c>
      <c r="K4" s="295" t="s">
        <v>311</v>
      </c>
      <c r="L4" s="117">
        <v>71</v>
      </c>
      <c r="M4" s="118" t="s">
        <v>308</v>
      </c>
      <c r="N4" s="118" t="s">
        <v>298</v>
      </c>
      <c r="O4" s="118" t="s">
        <v>329</v>
      </c>
      <c r="P4" s="196" t="s">
        <v>322</v>
      </c>
      <c r="Q4" s="118" t="s">
        <v>334</v>
      </c>
      <c r="R4" s="154">
        <v>5</v>
      </c>
      <c r="S4" s="154">
        <v>5</v>
      </c>
      <c r="T4" s="154">
        <v>4</v>
      </c>
      <c r="U4" s="154">
        <v>4</v>
      </c>
      <c r="V4" s="154">
        <v>5</v>
      </c>
      <c r="W4" s="154">
        <v>4</v>
      </c>
      <c r="X4" s="154">
        <v>5</v>
      </c>
      <c r="Y4" s="154" t="s">
        <v>92</v>
      </c>
      <c r="Z4" s="154">
        <v>5</v>
      </c>
      <c r="AA4" s="154">
        <v>5</v>
      </c>
      <c r="AB4" s="296">
        <f>BH4/BT4*100</f>
        <v>95.78947368421052</v>
      </c>
      <c r="AC4" s="297">
        <f>L4*AC$2</f>
        <v>177500</v>
      </c>
      <c r="AD4" s="297">
        <f>AD$2*AC4</f>
        <v>887.5</v>
      </c>
      <c r="AE4" s="298"/>
      <c r="AJ4" s="108">
        <f t="shared" ref="AJ4:AR7" si="0">IF(OR(R4=1,R4=2),$L4,0)</f>
        <v>0</v>
      </c>
      <c r="AK4" s="108">
        <f t="shared" si="0"/>
        <v>0</v>
      </c>
      <c r="AL4" s="108">
        <f t="shared" si="0"/>
        <v>0</v>
      </c>
      <c r="AM4" s="108">
        <f t="shared" si="0"/>
        <v>0</v>
      </c>
      <c r="AN4" s="108">
        <f t="shared" si="0"/>
        <v>0</v>
      </c>
      <c r="AO4" s="108">
        <f t="shared" si="0"/>
        <v>0</v>
      </c>
      <c r="AP4" s="108">
        <f t="shared" si="0"/>
        <v>0</v>
      </c>
      <c r="AQ4" s="108">
        <f t="shared" si="0"/>
        <v>0</v>
      </c>
      <c r="AR4" s="108">
        <f t="shared" si="0"/>
        <v>0</v>
      </c>
      <c r="AX4" s="108">
        <f t="shared" ref="AX4:AX67" si="1">IF(OR(R4=1,R4=2,R4=3,R4=4,R4=5),R4,0)</f>
        <v>5</v>
      </c>
      <c r="AY4" s="108">
        <f t="shared" ref="AY4:AY67" si="2">IF(OR(S4=1,S4=2,S4=3,S4=4,S4=5),S4,0)</f>
        <v>5</v>
      </c>
      <c r="AZ4" s="108">
        <f t="shared" ref="AZ4:AZ67" si="3">IF(OR(T4=1,T4=2,T4=3,T4=4,T4=5),T4,0)</f>
        <v>4</v>
      </c>
      <c r="BA4" s="108">
        <f t="shared" ref="BA4:BA67" si="4">IF(OR(U4=1,U4=2,U4=3,U4=4,U4=5),U4,0)</f>
        <v>4</v>
      </c>
      <c r="BB4" s="108">
        <f t="shared" ref="BB4:BB67" si="5">IF(OR(V4=1,V4=2,V4=3,V4=4,V4=5),V4,0)</f>
        <v>5</v>
      </c>
      <c r="BC4" s="108">
        <f t="shared" ref="BC4:BC67" si="6">IF(OR(W4=1,W4=2,W4=3,W4=4,W4=5),W4,0)</f>
        <v>4</v>
      </c>
      <c r="BD4" s="108">
        <f t="shared" ref="BD4:BD67" si="7">IF(OR(X4=1,X4=2,X4=3,X4=4,X4=5),X4,0)</f>
        <v>5</v>
      </c>
      <c r="BE4" s="108">
        <f t="shared" ref="BE4:BE67" si="8">IF(OR(Y4=1,Y4=2,Y4=3,Y4=4,Y4=5),Y4,0)</f>
        <v>0</v>
      </c>
      <c r="BF4" s="108">
        <f t="shared" ref="BF4:BF67" si="9">IF(OR(Z4=1,Z4=2,Z4=3,Z4=4,Z4=5),Z4,0)</f>
        <v>5</v>
      </c>
      <c r="BG4" s="108">
        <f t="shared" ref="BG4:BG67" si="10">IF(OR(AA4=1,AA4=2,AA4=3,AA4=4,AA4=5),AA4,0)</f>
        <v>5</v>
      </c>
      <c r="BH4" s="108">
        <f>AX$2*AX4+AY$2*AY4+AZ$2*AZ4+BA$2*BA4+BB$2*BB4+BC$2*BC4+BD$2*BD4+BE$2*BE4+BF$2*BF4+BG$2*BG4</f>
        <v>91</v>
      </c>
      <c r="BJ4" s="108">
        <f t="shared" ref="BJ4:BJ67" si="11">IF(OR(R4=1,R4=2,R4=3,R4=4,R4=5),5,0)</f>
        <v>5</v>
      </c>
      <c r="BK4" s="108">
        <f t="shared" ref="BK4:BK67" si="12">IF(OR(S4=1,S4=2,S4=3,S4=4,S4=5),5,0)</f>
        <v>5</v>
      </c>
      <c r="BL4" s="108">
        <f t="shared" ref="BL4:BL67" si="13">IF(OR(T4=1,T4=2,T4=3,T4=4,T4=5),5,0)</f>
        <v>5</v>
      </c>
      <c r="BM4" s="108">
        <f t="shared" ref="BM4:BM67" si="14">IF(OR(U4=1,U4=2,U4=3,U4=4,U4=5),5,0)</f>
        <v>5</v>
      </c>
      <c r="BN4" s="108">
        <f t="shared" ref="BN4:BN67" si="15">IF(OR(V4=1,V4=2,V4=3,V4=4,V4=5),5,0)</f>
        <v>5</v>
      </c>
      <c r="BO4" s="108">
        <f t="shared" ref="BO4:BO67" si="16">IF(OR(W4=1,W4=2,W4=3,W4=4,W4=5),5,0)</f>
        <v>5</v>
      </c>
      <c r="BP4" s="108">
        <f t="shared" ref="BP4:BP67" si="17">IF(OR(X4=1,X4=2,X4=3,X4=4,X4=5),5,0)</f>
        <v>5</v>
      </c>
      <c r="BQ4" s="108">
        <f t="shared" ref="BQ4:BQ67" si="18">IF(OR(Y4=1,Y4=2,Y4=3,Y4=4,Y4=5),5,0)</f>
        <v>0</v>
      </c>
      <c r="BR4" s="108">
        <f t="shared" ref="BR4:BR67" si="19">IF(OR(Z4=1,Z4=2,Z4=3,Z4=4,Z4=5),5,0)</f>
        <v>5</v>
      </c>
      <c r="BS4" s="108">
        <f t="shared" ref="BS4:BS67" si="20">IF(OR(AA4=1,AA4=2,AA4=3,AA4=4,AA4=5),5,0)</f>
        <v>5</v>
      </c>
      <c r="BT4" s="108">
        <f>BJ$2*BJ4+BK$2*BK4+BL$2*BL4+BM$2*BM4+BN$2*BN4+BO$2*BO4+BP$2*BP4+BQ$2*BQ4+BR$2*BR4+BS$2*BS4</f>
        <v>95</v>
      </c>
    </row>
    <row r="5" spans="1:72" ht="25" customHeight="1" x14ac:dyDescent="0.3">
      <c r="A5" s="185"/>
      <c r="B5" s="116" t="s">
        <v>1630</v>
      </c>
      <c r="C5" s="126" t="s">
        <v>1631</v>
      </c>
      <c r="D5" s="124" t="s">
        <v>1628</v>
      </c>
      <c r="E5" s="294" t="s">
        <v>1253</v>
      </c>
      <c r="F5" s="111">
        <f>8+4/60+56/3600</f>
        <v>8.0822222222222226</v>
      </c>
      <c r="G5" s="111">
        <f>134+43/60+3/3600</f>
        <v>134.7175</v>
      </c>
      <c r="H5" s="295" t="s">
        <v>326</v>
      </c>
      <c r="I5" s="112" t="s">
        <v>502</v>
      </c>
      <c r="J5" s="112" t="s">
        <v>311</v>
      </c>
      <c r="K5" s="295" t="s">
        <v>311</v>
      </c>
      <c r="L5" s="117">
        <v>63</v>
      </c>
      <c r="M5" s="118" t="s">
        <v>308</v>
      </c>
      <c r="N5" s="118" t="s">
        <v>314</v>
      </c>
      <c r="O5" s="118" t="s">
        <v>321</v>
      </c>
      <c r="P5" s="129" t="s">
        <v>1598</v>
      </c>
      <c r="Q5" s="118" t="s">
        <v>309</v>
      </c>
      <c r="R5" s="154">
        <v>4</v>
      </c>
      <c r="S5" s="154">
        <v>4</v>
      </c>
      <c r="T5" s="154">
        <v>3</v>
      </c>
      <c r="U5" s="154">
        <v>2</v>
      </c>
      <c r="V5" s="154">
        <v>2</v>
      </c>
      <c r="W5" s="154">
        <v>2</v>
      </c>
      <c r="X5" s="154" t="s">
        <v>92</v>
      </c>
      <c r="Y5" s="154" t="s">
        <v>92</v>
      </c>
      <c r="Z5" s="154">
        <v>2</v>
      </c>
      <c r="AA5" s="154">
        <v>3</v>
      </c>
      <c r="AB5" s="296">
        <f t="shared" ref="AB5:AB68" si="21">BH5/BT5*100</f>
        <v>64.444444444444443</v>
      </c>
      <c r="AC5" s="297">
        <f>L5*AC$2</f>
        <v>157500</v>
      </c>
      <c r="AD5" s="297">
        <f t="shared" ref="AD5:AD68" si="22">AD$2*AC5</f>
        <v>787.5</v>
      </c>
      <c r="AE5" s="298"/>
      <c r="AJ5" s="108">
        <f t="shared" si="0"/>
        <v>0</v>
      </c>
      <c r="AK5" s="108">
        <f t="shared" si="0"/>
        <v>0</v>
      </c>
      <c r="AL5" s="108">
        <f t="shared" si="0"/>
        <v>0</v>
      </c>
      <c r="AM5" s="108">
        <f t="shared" si="0"/>
        <v>63</v>
      </c>
      <c r="AN5" s="108">
        <f t="shared" si="0"/>
        <v>63</v>
      </c>
      <c r="AO5" s="108">
        <f t="shared" si="0"/>
        <v>63</v>
      </c>
      <c r="AP5" s="108">
        <f t="shared" si="0"/>
        <v>0</v>
      </c>
      <c r="AQ5" s="108">
        <f t="shared" si="0"/>
        <v>0</v>
      </c>
      <c r="AR5" s="108">
        <f t="shared" si="0"/>
        <v>63</v>
      </c>
      <c r="AX5" s="108">
        <f t="shared" si="1"/>
        <v>4</v>
      </c>
      <c r="AY5" s="108">
        <f t="shared" si="2"/>
        <v>4</v>
      </c>
      <c r="AZ5" s="108">
        <f t="shared" si="3"/>
        <v>3</v>
      </c>
      <c r="BA5" s="108">
        <f t="shared" si="4"/>
        <v>2</v>
      </c>
      <c r="BB5" s="108">
        <f t="shared" si="5"/>
        <v>2</v>
      </c>
      <c r="BC5" s="108">
        <f t="shared" si="6"/>
        <v>2</v>
      </c>
      <c r="BD5" s="108">
        <f t="shared" si="7"/>
        <v>0</v>
      </c>
      <c r="BE5" s="108">
        <f t="shared" si="8"/>
        <v>0</v>
      </c>
      <c r="BF5" s="108">
        <f t="shared" si="9"/>
        <v>2</v>
      </c>
      <c r="BG5" s="108">
        <f t="shared" si="10"/>
        <v>3</v>
      </c>
      <c r="BH5" s="108">
        <f t="shared" ref="BH5:BH68" si="23">AX$2*AX5+AY$2*AY5+AZ$2*AZ5+BA$2*BA5+BB$2*BB5+BC$2*BC5+BD$2*BD5+BE$2*BE5+BF$2*BF5+BG$2*BG5</f>
        <v>58</v>
      </c>
      <c r="BJ5" s="108">
        <f t="shared" si="11"/>
        <v>5</v>
      </c>
      <c r="BK5" s="108">
        <f t="shared" si="12"/>
        <v>5</v>
      </c>
      <c r="BL5" s="108">
        <f t="shared" si="13"/>
        <v>5</v>
      </c>
      <c r="BM5" s="108">
        <f t="shared" si="14"/>
        <v>5</v>
      </c>
      <c r="BN5" s="108">
        <f t="shared" si="15"/>
        <v>5</v>
      </c>
      <c r="BO5" s="108">
        <f t="shared" si="16"/>
        <v>5</v>
      </c>
      <c r="BP5" s="108">
        <f t="shared" si="17"/>
        <v>0</v>
      </c>
      <c r="BQ5" s="108">
        <f t="shared" si="18"/>
        <v>0</v>
      </c>
      <c r="BR5" s="108">
        <f t="shared" si="19"/>
        <v>5</v>
      </c>
      <c r="BS5" s="108">
        <f t="shared" si="20"/>
        <v>5</v>
      </c>
      <c r="BT5" s="108">
        <f t="shared" ref="BT5:BT68" si="24">BJ$2*BJ5+BK$2*BK5+BL$2*BL5+BM$2*BM5+BN$2*BN5+BO$2*BO5+BP$2*BP5+BQ$2*BQ5+BR$2*BR5+BS$2*BS5</f>
        <v>90</v>
      </c>
    </row>
    <row r="6" spans="1:72" ht="25" customHeight="1" x14ac:dyDescent="0.3">
      <c r="A6" s="185"/>
      <c r="B6" s="116" t="s">
        <v>1632</v>
      </c>
      <c r="C6" s="126" t="s">
        <v>1633</v>
      </c>
      <c r="D6" s="124" t="s">
        <v>1628</v>
      </c>
      <c r="E6" s="294" t="s">
        <v>1253</v>
      </c>
      <c r="F6" s="111">
        <f>8+4/60+54/3600</f>
        <v>8.081666666666667</v>
      </c>
      <c r="G6" s="111">
        <f>134+43/60+6/3600</f>
        <v>134.71833333333333</v>
      </c>
      <c r="H6" s="295" t="s">
        <v>331</v>
      </c>
      <c r="I6" s="112" t="s">
        <v>502</v>
      </c>
      <c r="J6" s="112">
        <v>2017</v>
      </c>
      <c r="K6" s="295" t="s">
        <v>1634</v>
      </c>
      <c r="L6" s="117">
        <v>98</v>
      </c>
      <c r="M6" s="118" t="s">
        <v>308</v>
      </c>
      <c r="N6" s="118" t="s">
        <v>298</v>
      </c>
      <c r="O6" s="118" t="s">
        <v>329</v>
      </c>
      <c r="P6" s="196" t="s">
        <v>322</v>
      </c>
      <c r="Q6" s="118" t="s">
        <v>309</v>
      </c>
      <c r="R6" s="154">
        <v>5</v>
      </c>
      <c r="S6" s="154">
        <v>4</v>
      </c>
      <c r="T6" s="154">
        <v>4</v>
      </c>
      <c r="U6" s="154">
        <v>5</v>
      </c>
      <c r="V6" s="154">
        <v>3</v>
      </c>
      <c r="W6" s="154">
        <v>3</v>
      </c>
      <c r="X6" s="154" t="s">
        <v>92</v>
      </c>
      <c r="Y6" s="154" t="s">
        <v>92</v>
      </c>
      <c r="Z6" s="154">
        <v>3</v>
      </c>
      <c r="AA6" s="154">
        <v>4</v>
      </c>
      <c r="AB6" s="296">
        <f t="shared" si="21"/>
        <v>81.111111111111114</v>
      </c>
      <c r="AC6" s="297">
        <f>L6*AC$2</f>
        <v>245000</v>
      </c>
      <c r="AD6" s="297">
        <f t="shared" si="22"/>
        <v>1225</v>
      </c>
      <c r="AE6" s="298"/>
      <c r="AJ6" s="108">
        <f t="shared" si="0"/>
        <v>0</v>
      </c>
      <c r="AK6" s="108">
        <f t="shared" si="0"/>
        <v>0</v>
      </c>
      <c r="AL6" s="108">
        <f t="shared" si="0"/>
        <v>0</v>
      </c>
      <c r="AM6" s="108">
        <f t="shared" si="0"/>
        <v>0</v>
      </c>
      <c r="AN6" s="108">
        <f t="shared" si="0"/>
        <v>0</v>
      </c>
      <c r="AO6" s="108">
        <f t="shared" si="0"/>
        <v>0</v>
      </c>
      <c r="AP6" s="108">
        <f t="shared" si="0"/>
        <v>0</v>
      </c>
      <c r="AQ6" s="108">
        <f t="shared" si="0"/>
        <v>0</v>
      </c>
      <c r="AR6" s="108">
        <f t="shared" si="0"/>
        <v>0</v>
      </c>
      <c r="AX6" s="108">
        <f t="shared" si="1"/>
        <v>5</v>
      </c>
      <c r="AY6" s="108">
        <f t="shared" si="2"/>
        <v>4</v>
      </c>
      <c r="AZ6" s="108">
        <f t="shared" si="3"/>
        <v>4</v>
      </c>
      <c r="BA6" s="108">
        <f t="shared" si="4"/>
        <v>5</v>
      </c>
      <c r="BB6" s="108">
        <f t="shared" si="5"/>
        <v>3</v>
      </c>
      <c r="BC6" s="108">
        <f t="shared" si="6"/>
        <v>3</v>
      </c>
      <c r="BD6" s="108">
        <f t="shared" si="7"/>
        <v>0</v>
      </c>
      <c r="BE6" s="108">
        <f t="shared" si="8"/>
        <v>0</v>
      </c>
      <c r="BF6" s="108">
        <f t="shared" si="9"/>
        <v>3</v>
      </c>
      <c r="BG6" s="108">
        <f t="shared" si="10"/>
        <v>4</v>
      </c>
      <c r="BH6" s="108">
        <f t="shared" si="23"/>
        <v>73</v>
      </c>
      <c r="BJ6" s="108">
        <f t="shared" si="11"/>
        <v>5</v>
      </c>
      <c r="BK6" s="108">
        <f t="shared" si="12"/>
        <v>5</v>
      </c>
      <c r="BL6" s="108">
        <f t="shared" si="13"/>
        <v>5</v>
      </c>
      <c r="BM6" s="108">
        <f t="shared" si="14"/>
        <v>5</v>
      </c>
      <c r="BN6" s="108">
        <f t="shared" si="15"/>
        <v>5</v>
      </c>
      <c r="BO6" s="108">
        <f t="shared" si="16"/>
        <v>5</v>
      </c>
      <c r="BP6" s="108">
        <f t="shared" si="17"/>
        <v>0</v>
      </c>
      <c r="BQ6" s="108">
        <f t="shared" si="18"/>
        <v>0</v>
      </c>
      <c r="BR6" s="108">
        <f t="shared" si="19"/>
        <v>5</v>
      </c>
      <c r="BS6" s="108">
        <f t="shared" si="20"/>
        <v>5</v>
      </c>
      <c r="BT6" s="108">
        <f t="shared" si="24"/>
        <v>90</v>
      </c>
    </row>
    <row r="7" spans="1:72" ht="25" customHeight="1" x14ac:dyDescent="0.3">
      <c r="A7" s="185"/>
      <c r="B7" s="116" t="s">
        <v>1635</v>
      </c>
      <c r="C7" s="126" t="s">
        <v>1636</v>
      </c>
      <c r="D7" s="124" t="s">
        <v>1628</v>
      </c>
      <c r="E7" s="294" t="s">
        <v>1253</v>
      </c>
      <c r="F7" s="111">
        <f>8+4/60+37/3600</f>
        <v>8.0769444444444449</v>
      </c>
      <c r="G7" s="111">
        <f>134+43/60+5/3600</f>
        <v>134.71805555555557</v>
      </c>
      <c r="H7" s="295" t="s">
        <v>1510</v>
      </c>
      <c r="I7" s="112"/>
      <c r="J7" s="112">
        <v>2014</v>
      </c>
      <c r="K7" s="295" t="s">
        <v>1634</v>
      </c>
      <c r="L7" s="117">
        <v>243</v>
      </c>
      <c r="M7" s="118" t="s">
        <v>308</v>
      </c>
      <c r="N7" s="118" t="s">
        <v>298</v>
      </c>
      <c r="O7" s="118" t="s">
        <v>329</v>
      </c>
      <c r="P7" s="196" t="s">
        <v>322</v>
      </c>
      <c r="Q7" s="118" t="s">
        <v>309</v>
      </c>
      <c r="R7" s="154">
        <v>5</v>
      </c>
      <c r="S7" s="154">
        <v>4</v>
      </c>
      <c r="T7" s="154">
        <v>3</v>
      </c>
      <c r="U7" s="154">
        <v>4</v>
      </c>
      <c r="V7" s="154">
        <v>4</v>
      </c>
      <c r="W7" s="154">
        <v>4</v>
      </c>
      <c r="X7" s="154">
        <v>4</v>
      </c>
      <c r="Y7" s="154">
        <v>4</v>
      </c>
      <c r="Z7" s="154">
        <v>4</v>
      </c>
      <c r="AA7" s="154">
        <v>4</v>
      </c>
      <c r="AB7" s="296">
        <f t="shared" si="21"/>
        <v>81</v>
      </c>
      <c r="AC7" s="297">
        <f>L7*AC$2</f>
        <v>607500</v>
      </c>
      <c r="AD7" s="297">
        <f t="shared" si="22"/>
        <v>3037.5</v>
      </c>
      <c r="AE7" s="469" t="s">
        <v>1628</v>
      </c>
      <c r="AF7" s="469"/>
      <c r="AG7" s="300"/>
      <c r="AH7" s="300"/>
      <c r="AI7" s="300"/>
      <c r="AJ7" s="108">
        <f t="shared" si="0"/>
        <v>0</v>
      </c>
      <c r="AK7" s="108">
        <f t="shared" si="0"/>
        <v>0</v>
      </c>
      <c r="AL7" s="108">
        <f t="shared" si="0"/>
        <v>0</v>
      </c>
      <c r="AM7" s="108">
        <f t="shared" si="0"/>
        <v>0</v>
      </c>
      <c r="AN7" s="108">
        <f t="shared" si="0"/>
        <v>0</v>
      </c>
      <c r="AO7" s="108">
        <f t="shared" si="0"/>
        <v>0</v>
      </c>
      <c r="AP7" s="108">
        <f t="shared" si="0"/>
        <v>0</v>
      </c>
      <c r="AQ7" s="108">
        <f t="shared" si="0"/>
        <v>0</v>
      </c>
      <c r="AR7" s="108">
        <f t="shared" si="0"/>
        <v>0</v>
      </c>
      <c r="AX7" s="108">
        <f t="shared" si="1"/>
        <v>5</v>
      </c>
      <c r="AY7" s="108">
        <f t="shared" si="2"/>
        <v>4</v>
      </c>
      <c r="AZ7" s="108">
        <f t="shared" si="3"/>
        <v>3</v>
      </c>
      <c r="BA7" s="108">
        <f t="shared" si="4"/>
        <v>4</v>
      </c>
      <c r="BB7" s="108">
        <f t="shared" si="5"/>
        <v>4</v>
      </c>
      <c r="BC7" s="108">
        <f t="shared" si="6"/>
        <v>4</v>
      </c>
      <c r="BD7" s="108">
        <f t="shared" si="7"/>
        <v>4</v>
      </c>
      <c r="BE7" s="108">
        <f t="shared" si="8"/>
        <v>4</v>
      </c>
      <c r="BF7" s="108">
        <f t="shared" si="9"/>
        <v>4</v>
      </c>
      <c r="BG7" s="108">
        <f t="shared" si="10"/>
        <v>4</v>
      </c>
      <c r="BH7" s="108">
        <f t="shared" si="23"/>
        <v>81</v>
      </c>
      <c r="BJ7" s="108">
        <f t="shared" si="11"/>
        <v>5</v>
      </c>
      <c r="BK7" s="108">
        <f t="shared" si="12"/>
        <v>5</v>
      </c>
      <c r="BL7" s="108">
        <f t="shared" si="13"/>
        <v>5</v>
      </c>
      <c r="BM7" s="108">
        <f t="shared" si="14"/>
        <v>5</v>
      </c>
      <c r="BN7" s="108">
        <f t="shared" si="15"/>
        <v>5</v>
      </c>
      <c r="BO7" s="108">
        <f t="shared" si="16"/>
        <v>5</v>
      </c>
      <c r="BP7" s="108">
        <f t="shared" si="17"/>
        <v>5</v>
      </c>
      <c r="BQ7" s="108">
        <f t="shared" si="18"/>
        <v>5</v>
      </c>
      <c r="BR7" s="108">
        <f t="shared" si="19"/>
        <v>5</v>
      </c>
      <c r="BS7" s="108">
        <f t="shared" si="20"/>
        <v>5</v>
      </c>
      <c r="BT7" s="108">
        <f t="shared" si="24"/>
        <v>100</v>
      </c>
    </row>
    <row r="8" spans="1:72" ht="25" customHeight="1" x14ac:dyDescent="0.3">
      <c r="A8" s="185"/>
      <c r="B8" s="116"/>
      <c r="C8" s="126"/>
      <c r="D8" s="124"/>
      <c r="E8" s="116"/>
      <c r="F8" s="111"/>
      <c r="G8" s="111"/>
      <c r="H8" s="295"/>
      <c r="I8" s="112"/>
      <c r="J8" s="112"/>
      <c r="K8" s="295"/>
      <c r="L8" s="117"/>
      <c r="M8" s="118"/>
      <c r="N8" s="118"/>
      <c r="O8" s="118"/>
      <c r="P8" s="196"/>
      <c r="Q8" s="118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296"/>
      <c r="AC8" s="297"/>
      <c r="AD8" s="301"/>
      <c r="AE8" s="302">
        <f>SUM(AC4:AC7)</f>
        <v>1187500</v>
      </c>
      <c r="AF8" s="302">
        <f>SUM(AD4:AD7)</f>
        <v>5937.5</v>
      </c>
      <c r="AG8" s="303"/>
      <c r="AH8" s="303"/>
      <c r="AI8" s="303"/>
      <c r="AJ8" s="304">
        <f>SUM(AJ4:AJ7)*AJ$2*$AS$1</f>
        <v>0</v>
      </c>
      <c r="AK8" s="304">
        <f t="shared" ref="AK8:AR8" si="25">SUM(AK4:AK7)*AK$2*$AS$1</f>
        <v>0</v>
      </c>
      <c r="AL8" s="304">
        <f t="shared" si="25"/>
        <v>0</v>
      </c>
      <c r="AM8" s="304">
        <f t="shared" si="25"/>
        <v>15750.000000000002</v>
      </c>
      <c r="AN8" s="304">
        <f t="shared" si="25"/>
        <v>15750.000000000002</v>
      </c>
      <c r="AO8" s="304">
        <f t="shared" si="25"/>
        <v>31500.000000000004</v>
      </c>
      <c r="AP8" s="304">
        <f t="shared" si="25"/>
        <v>0</v>
      </c>
      <c r="AQ8" s="304">
        <f t="shared" si="25"/>
        <v>0</v>
      </c>
      <c r="AR8" s="304">
        <f t="shared" si="25"/>
        <v>11025</v>
      </c>
      <c r="AS8" s="305">
        <f>SUM(AJ8:AR8)</f>
        <v>74025</v>
      </c>
      <c r="AX8" s="108">
        <f t="shared" si="1"/>
        <v>0</v>
      </c>
      <c r="AY8" s="108">
        <f t="shared" si="2"/>
        <v>0</v>
      </c>
      <c r="AZ8" s="108">
        <f t="shared" si="3"/>
        <v>0</v>
      </c>
      <c r="BA8" s="108">
        <f t="shared" si="4"/>
        <v>0</v>
      </c>
      <c r="BB8" s="108">
        <f t="shared" si="5"/>
        <v>0</v>
      </c>
      <c r="BC8" s="108">
        <f t="shared" si="6"/>
        <v>0</v>
      </c>
      <c r="BD8" s="108">
        <f t="shared" si="7"/>
        <v>0</v>
      </c>
      <c r="BE8" s="108">
        <f t="shared" si="8"/>
        <v>0</v>
      </c>
      <c r="BF8" s="108">
        <f t="shared" si="9"/>
        <v>0</v>
      </c>
      <c r="BG8" s="108">
        <f t="shared" si="10"/>
        <v>0</v>
      </c>
      <c r="BH8" s="108">
        <f t="shared" si="23"/>
        <v>0</v>
      </c>
      <c r="BJ8" s="108">
        <f t="shared" si="11"/>
        <v>0</v>
      </c>
      <c r="BK8" s="108">
        <f t="shared" si="12"/>
        <v>0</v>
      </c>
      <c r="BL8" s="108">
        <f t="shared" si="13"/>
        <v>0</v>
      </c>
      <c r="BM8" s="108">
        <f t="shared" si="14"/>
        <v>0</v>
      </c>
      <c r="BN8" s="108">
        <f t="shared" si="15"/>
        <v>0</v>
      </c>
      <c r="BO8" s="108">
        <f t="shared" si="16"/>
        <v>0</v>
      </c>
      <c r="BP8" s="108">
        <f t="shared" si="17"/>
        <v>0</v>
      </c>
      <c r="BQ8" s="108">
        <f t="shared" si="18"/>
        <v>0</v>
      </c>
      <c r="BR8" s="108">
        <f t="shared" si="19"/>
        <v>0</v>
      </c>
      <c r="BS8" s="108">
        <f t="shared" si="20"/>
        <v>0</v>
      </c>
      <c r="BT8" s="108">
        <f t="shared" si="24"/>
        <v>0</v>
      </c>
    </row>
    <row r="9" spans="1:72" ht="25" customHeight="1" x14ac:dyDescent="0.3">
      <c r="A9" s="185"/>
      <c r="B9" s="116" t="s">
        <v>1012</v>
      </c>
      <c r="C9" s="126" t="s">
        <v>832</v>
      </c>
      <c r="D9" s="124" t="s">
        <v>833</v>
      </c>
      <c r="E9" s="116" t="s">
        <v>834</v>
      </c>
      <c r="F9" s="111">
        <v>7.7034123000000001</v>
      </c>
      <c r="G9" s="111">
        <v>134.6429004</v>
      </c>
      <c r="H9" s="295" t="s">
        <v>326</v>
      </c>
      <c r="I9" s="112">
        <v>2015</v>
      </c>
      <c r="J9" s="112" t="s">
        <v>311</v>
      </c>
      <c r="K9" s="295" t="s">
        <v>311</v>
      </c>
      <c r="L9" s="117">
        <v>84</v>
      </c>
      <c r="M9" s="118" t="s">
        <v>308</v>
      </c>
      <c r="N9" s="118" t="s">
        <v>298</v>
      </c>
      <c r="O9" s="118" t="s">
        <v>321</v>
      </c>
      <c r="P9" s="196" t="s">
        <v>322</v>
      </c>
      <c r="Q9" s="118" t="s">
        <v>309</v>
      </c>
      <c r="R9" s="154">
        <v>5</v>
      </c>
      <c r="S9" s="154">
        <v>5</v>
      </c>
      <c r="T9" s="154">
        <v>5</v>
      </c>
      <c r="U9" s="154">
        <v>5</v>
      </c>
      <c r="V9" s="154">
        <v>5</v>
      </c>
      <c r="W9" s="154">
        <v>3</v>
      </c>
      <c r="X9" s="154">
        <v>5</v>
      </c>
      <c r="Y9" s="154" t="s">
        <v>92</v>
      </c>
      <c r="Z9" s="154">
        <v>5</v>
      </c>
      <c r="AA9" s="154">
        <v>4</v>
      </c>
      <c r="AB9" s="296">
        <f t="shared" si="21"/>
        <v>93.684210526315795</v>
      </c>
      <c r="AC9" s="297">
        <f t="shared" ref="AC9:AC19" si="26">L9*AC$2</f>
        <v>210000</v>
      </c>
      <c r="AD9" s="301">
        <f t="shared" si="22"/>
        <v>1050</v>
      </c>
      <c r="AE9" s="298"/>
      <c r="AJ9" s="108">
        <f t="shared" ref="AJ9:AJ19" si="27">IF(OR(R9=1,R9=2),$L9,0)</f>
        <v>0</v>
      </c>
      <c r="AK9" s="108">
        <f t="shared" ref="AK9:AK19" si="28">IF(OR(S9=1,S9=2),$L9,0)</f>
        <v>0</v>
      </c>
      <c r="AL9" s="108">
        <f t="shared" ref="AL9:AL19" si="29">IF(OR(T9=1,T9=2),$L9,0)</f>
        <v>0</v>
      </c>
      <c r="AM9" s="108">
        <f t="shared" ref="AM9:AM19" si="30">IF(OR(U9=1,U9=2),$L9,0)</f>
        <v>0</v>
      </c>
      <c r="AN9" s="108">
        <f t="shared" ref="AN9:AN19" si="31">IF(OR(V9=1,V9=2),$L9,0)</f>
        <v>0</v>
      </c>
      <c r="AO9" s="108">
        <f t="shared" ref="AO9:AO19" si="32">IF(OR(W9=1,W9=2),$L9,0)</f>
        <v>0</v>
      </c>
      <c r="AP9" s="108">
        <f t="shared" ref="AP9:AP19" si="33">IF(OR(X9=1,X9=2),$L9,0)</f>
        <v>0</v>
      </c>
      <c r="AQ9" s="108">
        <f t="shared" ref="AQ9:AQ19" si="34">IF(OR(Y9=1,Y9=2),$L9,0)</f>
        <v>0</v>
      </c>
      <c r="AR9" s="108">
        <f t="shared" ref="AR9:AR19" si="35">IF(OR(Z9=1,Z9=2),$L9,0)</f>
        <v>0</v>
      </c>
      <c r="AX9" s="108">
        <f t="shared" si="1"/>
        <v>5</v>
      </c>
      <c r="AY9" s="108">
        <f t="shared" si="2"/>
        <v>5</v>
      </c>
      <c r="AZ9" s="108">
        <f t="shared" si="3"/>
        <v>5</v>
      </c>
      <c r="BA9" s="108">
        <f t="shared" si="4"/>
        <v>5</v>
      </c>
      <c r="BB9" s="108">
        <f t="shared" si="5"/>
        <v>5</v>
      </c>
      <c r="BC9" s="108">
        <f t="shared" si="6"/>
        <v>3</v>
      </c>
      <c r="BD9" s="108">
        <f t="shared" si="7"/>
        <v>5</v>
      </c>
      <c r="BE9" s="108">
        <f t="shared" si="8"/>
        <v>0</v>
      </c>
      <c r="BF9" s="108">
        <f t="shared" si="9"/>
        <v>5</v>
      </c>
      <c r="BG9" s="108">
        <f t="shared" si="10"/>
        <v>4</v>
      </c>
      <c r="BH9" s="108">
        <f t="shared" si="23"/>
        <v>89</v>
      </c>
      <c r="BJ9" s="108">
        <f t="shared" si="11"/>
        <v>5</v>
      </c>
      <c r="BK9" s="108">
        <f t="shared" si="12"/>
        <v>5</v>
      </c>
      <c r="BL9" s="108">
        <f t="shared" si="13"/>
        <v>5</v>
      </c>
      <c r="BM9" s="108">
        <f t="shared" si="14"/>
        <v>5</v>
      </c>
      <c r="BN9" s="108">
        <f t="shared" si="15"/>
        <v>5</v>
      </c>
      <c r="BO9" s="108">
        <f t="shared" si="16"/>
        <v>5</v>
      </c>
      <c r="BP9" s="108">
        <f t="shared" si="17"/>
        <v>5</v>
      </c>
      <c r="BQ9" s="108">
        <f t="shared" si="18"/>
        <v>0</v>
      </c>
      <c r="BR9" s="108">
        <f t="shared" si="19"/>
        <v>5</v>
      </c>
      <c r="BS9" s="108">
        <f t="shared" si="20"/>
        <v>5</v>
      </c>
      <c r="BT9" s="108">
        <f t="shared" si="24"/>
        <v>95</v>
      </c>
    </row>
    <row r="10" spans="1:72" ht="25" customHeight="1" x14ac:dyDescent="0.3">
      <c r="A10" s="185"/>
      <c r="B10" s="116" t="s">
        <v>1013</v>
      </c>
      <c r="C10" s="126" t="s">
        <v>835</v>
      </c>
      <c r="D10" s="124" t="s">
        <v>833</v>
      </c>
      <c r="E10" s="116" t="s">
        <v>834</v>
      </c>
      <c r="F10" s="111">
        <v>7.7037978000000003</v>
      </c>
      <c r="G10" s="111">
        <v>134.6438005</v>
      </c>
      <c r="H10" s="295" t="s">
        <v>836</v>
      </c>
      <c r="I10" s="112">
        <v>1999</v>
      </c>
      <c r="J10" s="112" t="s">
        <v>311</v>
      </c>
      <c r="K10" s="295" t="s">
        <v>311</v>
      </c>
      <c r="L10" s="117">
        <v>89</v>
      </c>
      <c r="M10" s="118" t="s">
        <v>308</v>
      </c>
      <c r="N10" s="118" t="s">
        <v>298</v>
      </c>
      <c r="O10" s="118" t="s">
        <v>329</v>
      </c>
      <c r="P10" s="196" t="s">
        <v>322</v>
      </c>
      <c r="Q10" s="118" t="s">
        <v>334</v>
      </c>
      <c r="R10" s="154">
        <v>5</v>
      </c>
      <c r="S10" s="154">
        <v>4</v>
      </c>
      <c r="T10" s="154">
        <v>5</v>
      </c>
      <c r="U10" s="154">
        <v>5</v>
      </c>
      <c r="V10" s="154">
        <v>5</v>
      </c>
      <c r="W10" s="154" t="s">
        <v>311</v>
      </c>
      <c r="X10" s="154">
        <v>5</v>
      </c>
      <c r="Y10" s="154" t="s">
        <v>92</v>
      </c>
      <c r="Z10" s="154">
        <v>5</v>
      </c>
      <c r="AA10" s="154">
        <v>4</v>
      </c>
      <c r="AB10" s="296">
        <f t="shared" si="21"/>
        <v>90</v>
      </c>
      <c r="AC10" s="297">
        <f t="shared" si="26"/>
        <v>222500</v>
      </c>
      <c r="AD10" s="301">
        <f t="shared" si="22"/>
        <v>1112.5</v>
      </c>
      <c r="AE10" s="298"/>
      <c r="AF10" s="108"/>
      <c r="AG10" s="306"/>
      <c r="AH10" s="306"/>
      <c r="AI10" s="306"/>
      <c r="AJ10" s="108">
        <f t="shared" si="27"/>
        <v>0</v>
      </c>
      <c r="AK10" s="108">
        <f t="shared" si="28"/>
        <v>0</v>
      </c>
      <c r="AL10" s="108">
        <f t="shared" si="29"/>
        <v>0</v>
      </c>
      <c r="AM10" s="108">
        <f t="shared" si="30"/>
        <v>0</v>
      </c>
      <c r="AN10" s="108">
        <f t="shared" si="31"/>
        <v>0</v>
      </c>
      <c r="AO10" s="108">
        <f t="shared" si="32"/>
        <v>0</v>
      </c>
      <c r="AP10" s="108">
        <f t="shared" si="33"/>
        <v>0</v>
      </c>
      <c r="AQ10" s="108">
        <f t="shared" si="34"/>
        <v>0</v>
      </c>
      <c r="AR10" s="108">
        <f t="shared" si="35"/>
        <v>0</v>
      </c>
      <c r="AX10" s="108">
        <f t="shared" si="1"/>
        <v>5</v>
      </c>
      <c r="AY10" s="108">
        <f t="shared" si="2"/>
        <v>4</v>
      </c>
      <c r="AZ10" s="108">
        <f t="shared" si="3"/>
        <v>5</v>
      </c>
      <c r="BA10" s="108">
        <f t="shared" si="4"/>
        <v>5</v>
      </c>
      <c r="BB10" s="108">
        <f t="shared" si="5"/>
        <v>5</v>
      </c>
      <c r="BC10" s="108">
        <f t="shared" si="6"/>
        <v>0</v>
      </c>
      <c r="BD10" s="108">
        <f t="shared" si="7"/>
        <v>5</v>
      </c>
      <c r="BE10" s="108">
        <f t="shared" si="8"/>
        <v>0</v>
      </c>
      <c r="BF10" s="108">
        <f t="shared" si="9"/>
        <v>5</v>
      </c>
      <c r="BG10" s="108">
        <f t="shared" si="10"/>
        <v>4</v>
      </c>
      <c r="BH10" s="108">
        <f t="shared" si="23"/>
        <v>81</v>
      </c>
      <c r="BJ10" s="108">
        <f t="shared" si="11"/>
        <v>5</v>
      </c>
      <c r="BK10" s="108">
        <f t="shared" si="12"/>
        <v>5</v>
      </c>
      <c r="BL10" s="108">
        <f t="shared" si="13"/>
        <v>5</v>
      </c>
      <c r="BM10" s="108">
        <f t="shared" si="14"/>
        <v>5</v>
      </c>
      <c r="BN10" s="108">
        <f t="shared" si="15"/>
        <v>5</v>
      </c>
      <c r="BO10" s="108">
        <f t="shared" si="16"/>
        <v>0</v>
      </c>
      <c r="BP10" s="108">
        <f t="shared" si="17"/>
        <v>5</v>
      </c>
      <c r="BQ10" s="108">
        <f t="shared" si="18"/>
        <v>0</v>
      </c>
      <c r="BR10" s="108">
        <f t="shared" si="19"/>
        <v>5</v>
      </c>
      <c r="BS10" s="108">
        <f t="shared" si="20"/>
        <v>5</v>
      </c>
      <c r="BT10" s="108">
        <f t="shared" si="24"/>
        <v>90</v>
      </c>
    </row>
    <row r="11" spans="1:72" ht="25" customHeight="1" x14ac:dyDescent="0.3">
      <c r="A11" s="185"/>
      <c r="B11" s="116" t="s">
        <v>1014</v>
      </c>
      <c r="C11" s="126" t="s">
        <v>837</v>
      </c>
      <c r="D11" s="124" t="s">
        <v>833</v>
      </c>
      <c r="E11" s="116" t="s">
        <v>838</v>
      </c>
      <c r="F11" s="111">
        <v>7.7009438000000001</v>
      </c>
      <c r="G11" s="111">
        <v>134.64163930000001</v>
      </c>
      <c r="H11" s="295" t="s">
        <v>836</v>
      </c>
      <c r="I11" s="112">
        <v>1999</v>
      </c>
      <c r="J11" s="112" t="s">
        <v>311</v>
      </c>
      <c r="K11" s="295" t="s">
        <v>311</v>
      </c>
      <c r="L11" s="117">
        <v>147</v>
      </c>
      <c r="M11" s="118" t="s">
        <v>308</v>
      </c>
      <c r="N11" s="118" t="s">
        <v>298</v>
      </c>
      <c r="O11" s="118" t="s">
        <v>329</v>
      </c>
      <c r="P11" s="196" t="s">
        <v>322</v>
      </c>
      <c r="Q11" s="118" t="s">
        <v>334</v>
      </c>
      <c r="R11" s="154">
        <v>4</v>
      </c>
      <c r="S11" s="154">
        <v>4</v>
      </c>
      <c r="T11" s="154">
        <v>2</v>
      </c>
      <c r="U11" s="154">
        <v>3</v>
      </c>
      <c r="V11" s="154">
        <v>2</v>
      </c>
      <c r="W11" s="154" t="s">
        <v>311</v>
      </c>
      <c r="X11" s="154">
        <v>2</v>
      </c>
      <c r="Y11" s="154" t="s">
        <v>92</v>
      </c>
      <c r="Z11" s="154">
        <v>3</v>
      </c>
      <c r="AA11" s="154">
        <v>4</v>
      </c>
      <c r="AB11" s="296">
        <f t="shared" si="21"/>
        <v>68.888888888888886</v>
      </c>
      <c r="AC11" s="297">
        <f t="shared" si="26"/>
        <v>367500</v>
      </c>
      <c r="AD11" s="301">
        <f t="shared" si="22"/>
        <v>1837.5</v>
      </c>
      <c r="AE11" s="298"/>
      <c r="AJ11" s="108">
        <f t="shared" si="27"/>
        <v>0</v>
      </c>
      <c r="AK11" s="108">
        <f t="shared" si="28"/>
        <v>0</v>
      </c>
      <c r="AL11" s="108">
        <f t="shared" si="29"/>
        <v>147</v>
      </c>
      <c r="AM11" s="108">
        <f t="shared" si="30"/>
        <v>0</v>
      </c>
      <c r="AN11" s="108">
        <f t="shared" si="31"/>
        <v>147</v>
      </c>
      <c r="AO11" s="108">
        <f t="shared" si="32"/>
        <v>0</v>
      </c>
      <c r="AP11" s="108">
        <f t="shared" si="33"/>
        <v>147</v>
      </c>
      <c r="AQ11" s="108">
        <f t="shared" si="34"/>
        <v>0</v>
      </c>
      <c r="AR11" s="108">
        <f t="shared" si="35"/>
        <v>0</v>
      </c>
      <c r="AX11" s="108">
        <f t="shared" si="1"/>
        <v>4</v>
      </c>
      <c r="AY11" s="108">
        <f t="shared" si="2"/>
        <v>4</v>
      </c>
      <c r="AZ11" s="108">
        <f t="shared" si="3"/>
        <v>2</v>
      </c>
      <c r="BA11" s="108">
        <f t="shared" si="4"/>
        <v>3</v>
      </c>
      <c r="BB11" s="108">
        <f t="shared" si="5"/>
        <v>2</v>
      </c>
      <c r="BC11" s="108">
        <f t="shared" si="6"/>
        <v>0</v>
      </c>
      <c r="BD11" s="108">
        <f t="shared" si="7"/>
        <v>2</v>
      </c>
      <c r="BE11" s="108">
        <f t="shared" si="8"/>
        <v>0</v>
      </c>
      <c r="BF11" s="108">
        <f t="shared" si="9"/>
        <v>3</v>
      </c>
      <c r="BG11" s="108">
        <f t="shared" si="10"/>
        <v>4</v>
      </c>
      <c r="BH11" s="108">
        <f t="shared" si="23"/>
        <v>62</v>
      </c>
      <c r="BJ11" s="108">
        <f t="shared" si="11"/>
        <v>5</v>
      </c>
      <c r="BK11" s="108">
        <f t="shared" si="12"/>
        <v>5</v>
      </c>
      <c r="BL11" s="108">
        <f t="shared" si="13"/>
        <v>5</v>
      </c>
      <c r="BM11" s="108">
        <f t="shared" si="14"/>
        <v>5</v>
      </c>
      <c r="BN11" s="108">
        <f t="shared" si="15"/>
        <v>5</v>
      </c>
      <c r="BO11" s="108">
        <f t="shared" si="16"/>
        <v>0</v>
      </c>
      <c r="BP11" s="108">
        <f t="shared" si="17"/>
        <v>5</v>
      </c>
      <c r="BQ11" s="108">
        <f t="shared" si="18"/>
        <v>0</v>
      </c>
      <c r="BR11" s="108">
        <f t="shared" si="19"/>
        <v>5</v>
      </c>
      <c r="BS11" s="108">
        <f t="shared" si="20"/>
        <v>5</v>
      </c>
      <c r="BT11" s="108">
        <f t="shared" si="24"/>
        <v>90</v>
      </c>
    </row>
    <row r="12" spans="1:72" ht="25" customHeight="1" x14ac:dyDescent="0.3">
      <c r="A12" s="185"/>
      <c r="B12" s="116" t="s">
        <v>1015</v>
      </c>
      <c r="C12" s="126" t="s">
        <v>839</v>
      </c>
      <c r="D12" s="124" t="s">
        <v>833</v>
      </c>
      <c r="E12" s="116" t="s">
        <v>840</v>
      </c>
      <c r="F12" s="111">
        <v>7.6991268000000002</v>
      </c>
      <c r="G12" s="111">
        <v>134.63756290000001</v>
      </c>
      <c r="H12" s="295" t="s">
        <v>836</v>
      </c>
      <c r="I12" s="112">
        <v>2008</v>
      </c>
      <c r="J12" s="112" t="s">
        <v>311</v>
      </c>
      <c r="K12" s="295" t="s">
        <v>311</v>
      </c>
      <c r="L12" s="117">
        <v>94</v>
      </c>
      <c r="M12" s="118" t="s">
        <v>308</v>
      </c>
      <c r="N12" s="118" t="s">
        <v>298</v>
      </c>
      <c r="O12" s="118" t="s">
        <v>329</v>
      </c>
      <c r="P12" s="196" t="s">
        <v>322</v>
      </c>
      <c r="Q12" s="118" t="s">
        <v>309</v>
      </c>
      <c r="R12" s="154">
        <v>4</v>
      </c>
      <c r="S12" s="154">
        <v>3</v>
      </c>
      <c r="T12" s="154">
        <v>3</v>
      </c>
      <c r="U12" s="154">
        <v>2</v>
      </c>
      <c r="V12" s="154">
        <v>3</v>
      </c>
      <c r="W12" s="154" t="s">
        <v>311</v>
      </c>
      <c r="X12" s="154">
        <v>4</v>
      </c>
      <c r="Y12" s="154" t="s">
        <v>92</v>
      </c>
      <c r="Z12" s="154">
        <v>4</v>
      </c>
      <c r="AA12" s="154">
        <v>4</v>
      </c>
      <c r="AB12" s="296">
        <f t="shared" si="21"/>
        <v>68.888888888888886</v>
      </c>
      <c r="AC12" s="297">
        <f t="shared" si="26"/>
        <v>235000</v>
      </c>
      <c r="AD12" s="301">
        <f t="shared" si="22"/>
        <v>1175</v>
      </c>
      <c r="AE12" s="298"/>
      <c r="AJ12" s="108">
        <f t="shared" si="27"/>
        <v>0</v>
      </c>
      <c r="AK12" s="108">
        <f t="shared" si="28"/>
        <v>0</v>
      </c>
      <c r="AL12" s="108">
        <f t="shared" si="29"/>
        <v>0</v>
      </c>
      <c r="AM12" s="108">
        <f t="shared" si="30"/>
        <v>94</v>
      </c>
      <c r="AN12" s="108">
        <f t="shared" si="31"/>
        <v>0</v>
      </c>
      <c r="AO12" s="108">
        <f t="shared" si="32"/>
        <v>0</v>
      </c>
      <c r="AP12" s="108">
        <f t="shared" si="33"/>
        <v>0</v>
      </c>
      <c r="AQ12" s="108">
        <f t="shared" si="34"/>
        <v>0</v>
      </c>
      <c r="AR12" s="108">
        <f t="shared" si="35"/>
        <v>0</v>
      </c>
      <c r="AX12" s="108">
        <f t="shared" si="1"/>
        <v>4</v>
      </c>
      <c r="AY12" s="108">
        <f t="shared" si="2"/>
        <v>3</v>
      </c>
      <c r="AZ12" s="108">
        <f t="shared" si="3"/>
        <v>3</v>
      </c>
      <c r="BA12" s="108">
        <f t="shared" si="4"/>
        <v>2</v>
      </c>
      <c r="BB12" s="108">
        <f t="shared" si="5"/>
        <v>3</v>
      </c>
      <c r="BC12" s="108">
        <f t="shared" si="6"/>
        <v>0</v>
      </c>
      <c r="BD12" s="108">
        <f t="shared" si="7"/>
        <v>4</v>
      </c>
      <c r="BE12" s="108">
        <f t="shared" si="8"/>
        <v>0</v>
      </c>
      <c r="BF12" s="108">
        <f t="shared" si="9"/>
        <v>4</v>
      </c>
      <c r="BG12" s="108">
        <f t="shared" si="10"/>
        <v>4</v>
      </c>
      <c r="BH12" s="108">
        <f t="shared" si="23"/>
        <v>62</v>
      </c>
      <c r="BJ12" s="108">
        <f t="shared" si="11"/>
        <v>5</v>
      </c>
      <c r="BK12" s="108">
        <f t="shared" si="12"/>
        <v>5</v>
      </c>
      <c r="BL12" s="108">
        <f t="shared" si="13"/>
        <v>5</v>
      </c>
      <c r="BM12" s="108">
        <f t="shared" si="14"/>
        <v>5</v>
      </c>
      <c r="BN12" s="108">
        <f t="shared" si="15"/>
        <v>5</v>
      </c>
      <c r="BO12" s="108">
        <f t="shared" si="16"/>
        <v>0</v>
      </c>
      <c r="BP12" s="108">
        <f t="shared" si="17"/>
        <v>5</v>
      </c>
      <c r="BQ12" s="108">
        <f t="shared" si="18"/>
        <v>0</v>
      </c>
      <c r="BR12" s="108">
        <f t="shared" si="19"/>
        <v>5</v>
      </c>
      <c r="BS12" s="108">
        <f t="shared" si="20"/>
        <v>5</v>
      </c>
      <c r="BT12" s="108">
        <f t="shared" si="24"/>
        <v>90</v>
      </c>
    </row>
    <row r="13" spans="1:72" ht="25" customHeight="1" x14ac:dyDescent="0.3">
      <c r="A13" s="185"/>
      <c r="B13" s="116" t="s">
        <v>1016</v>
      </c>
      <c r="C13" s="126" t="s">
        <v>841</v>
      </c>
      <c r="D13" s="124" t="s">
        <v>833</v>
      </c>
      <c r="E13" s="116" t="s">
        <v>462</v>
      </c>
      <c r="F13" s="111">
        <v>7.6967565999999996</v>
      </c>
      <c r="G13" s="111">
        <v>134.63093620000001</v>
      </c>
      <c r="H13" s="295" t="s">
        <v>842</v>
      </c>
      <c r="I13" s="112"/>
      <c r="J13" s="112"/>
      <c r="K13" s="295" t="s">
        <v>843</v>
      </c>
      <c r="L13" s="117">
        <v>167</v>
      </c>
      <c r="M13" s="118" t="s">
        <v>308</v>
      </c>
      <c r="N13" s="118" t="s">
        <v>298</v>
      </c>
      <c r="O13" s="118" t="s">
        <v>329</v>
      </c>
      <c r="P13" s="196" t="s">
        <v>322</v>
      </c>
      <c r="Q13" s="118" t="s">
        <v>844</v>
      </c>
      <c r="R13" s="154">
        <v>4</v>
      </c>
      <c r="S13" s="154">
        <v>4</v>
      </c>
      <c r="T13" s="154">
        <v>4</v>
      </c>
      <c r="U13" s="154">
        <v>2</v>
      </c>
      <c r="V13" s="154">
        <v>3</v>
      </c>
      <c r="W13" s="154" t="s">
        <v>311</v>
      </c>
      <c r="X13" s="154">
        <v>4</v>
      </c>
      <c r="Y13" s="154" t="s">
        <v>92</v>
      </c>
      <c r="Z13" s="154">
        <v>4</v>
      </c>
      <c r="AA13" s="154">
        <v>5</v>
      </c>
      <c r="AB13" s="296">
        <f t="shared" si="21"/>
        <v>81.111111111111114</v>
      </c>
      <c r="AC13" s="297">
        <f t="shared" si="26"/>
        <v>417500</v>
      </c>
      <c r="AD13" s="301">
        <f t="shared" si="22"/>
        <v>2087.5</v>
      </c>
      <c r="AE13" s="298"/>
      <c r="AJ13" s="108">
        <f t="shared" si="27"/>
        <v>0</v>
      </c>
      <c r="AK13" s="108">
        <f t="shared" si="28"/>
        <v>0</v>
      </c>
      <c r="AL13" s="108">
        <f t="shared" si="29"/>
        <v>0</v>
      </c>
      <c r="AM13" s="108">
        <f t="shared" si="30"/>
        <v>167</v>
      </c>
      <c r="AN13" s="108">
        <f t="shared" si="31"/>
        <v>0</v>
      </c>
      <c r="AO13" s="108">
        <f t="shared" si="32"/>
        <v>0</v>
      </c>
      <c r="AP13" s="108">
        <f t="shared" si="33"/>
        <v>0</v>
      </c>
      <c r="AQ13" s="108">
        <f t="shared" si="34"/>
        <v>0</v>
      </c>
      <c r="AR13" s="108">
        <f t="shared" si="35"/>
        <v>0</v>
      </c>
      <c r="AX13" s="108">
        <f t="shared" si="1"/>
        <v>4</v>
      </c>
      <c r="AY13" s="108">
        <f t="shared" si="2"/>
        <v>4</v>
      </c>
      <c r="AZ13" s="108">
        <f t="shared" si="3"/>
        <v>4</v>
      </c>
      <c r="BA13" s="108">
        <f t="shared" si="4"/>
        <v>2</v>
      </c>
      <c r="BB13" s="108">
        <f t="shared" si="5"/>
        <v>3</v>
      </c>
      <c r="BC13" s="108">
        <f t="shared" si="6"/>
        <v>0</v>
      </c>
      <c r="BD13" s="108">
        <f t="shared" si="7"/>
        <v>4</v>
      </c>
      <c r="BE13" s="108">
        <f t="shared" si="8"/>
        <v>0</v>
      </c>
      <c r="BF13" s="108">
        <f t="shared" si="9"/>
        <v>4</v>
      </c>
      <c r="BG13" s="108">
        <f t="shared" si="10"/>
        <v>5</v>
      </c>
      <c r="BH13" s="108">
        <f t="shared" si="23"/>
        <v>73</v>
      </c>
      <c r="BJ13" s="108">
        <f t="shared" si="11"/>
        <v>5</v>
      </c>
      <c r="BK13" s="108">
        <f t="shared" si="12"/>
        <v>5</v>
      </c>
      <c r="BL13" s="108">
        <f t="shared" si="13"/>
        <v>5</v>
      </c>
      <c r="BM13" s="108">
        <f t="shared" si="14"/>
        <v>5</v>
      </c>
      <c r="BN13" s="108">
        <f t="shared" si="15"/>
        <v>5</v>
      </c>
      <c r="BO13" s="108">
        <f t="shared" si="16"/>
        <v>0</v>
      </c>
      <c r="BP13" s="108">
        <f t="shared" si="17"/>
        <v>5</v>
      </c>
      <c r="BQ13" s="108">
        <f t="shared" si="18"/>
        <v>0</v>
      </c>
      <c r="BR13" s="108">
        <f t="shared" si="19"/>
        <v>5</v>
      </c>
      <c r="BS13" s="108">
        <f t="shared" si="20"/>
        <v>5</v>
      </c>
      <c r="BT13" s="108">
        <f t="shared" si="24"/>
        <v>90</v>
      </c>
    </row>
    <row r="14" spans="1:72" ht="25" customHeight="1" x14ac:dyDescent="0.3">
      <c r="A14" s="185"/>
      <c r="B14" s="116" t="s">
        <v>1017</v>
      </c>
      <c r="C14" s="126" t="s">
        <v>845</v>
      </c>
      <c r="D14" s="124" t="s">
        <v>833</v>
      </c>
      <c r="E14" s="116" t="s">
        <v>424</v>
      </c>
      <c r="F14" s="111">
        <v>7.7193747000000004</v>
      </c>
      <c r="G14" s="111">
        <v>134.6136152</v>
      </c>
      <c r="H14" s="295" t="s">
        <v>836</v>
      </c>
      <c r="I14" s="112"/>
      <c r="J14" s="112"/>
      <c r="K14" s="295"/>
      <c r="L14" s="117"/>
      <c r="M14" s="118" t="s">
        <v>308</v>
      </c>
      <c r="N14" s="118" t="s">
        <v>298</v>
      </c>
      <c r="O14" s="118" t="s">
        <v>329</v>
      </c>
      <c r="P14" s="196" t="s">
        <v>322</v>
      </c>
      <c r="Q14" s="118" t="s">
        <v>334</v>
      </c>
      <c r="R14" s="154">
        <v>4</v>
      </c>
      <c r="S14" s="154">
        <v>2</v>
      </c>
      <c r="T14" s="154">
        <v>3</v>
      </c>
      <c r="U14" s="154">
        <v>4</v>
      </c>
      <c r="V14" s="154">
        <v>3</v>
      </c>
      <c r="W14" s="154" t="s">
        <v>311</v>
      </c>
      <c r="X14" s="154">
        <v>3</v>
      </c>
      <c r="Y14" s="154" t="s">
        <v>92</v>
      </c>
      <c r="Z14" s="154">
        <v>2</v>
      </c>
      <c r="AA14" s="154">
        <v>3</v>
      </c>
      <c r="AB14" s="296">
        <f t="shared" si="21"/>
        <v>57.777777777777771</v>
      </c>
      <c r="AC14" s="297">
        <f t="shared" si="26"/>
        <v>0</v>
      </c>
      <c r="AD14" s="301">
        <f t="shared" si="22"/>
        <v>0</v>
      </c>
      <c r="AE14" s="298"/>
      <c r="AJ14" s="108">
        <f t="shared" si="27"/>
        <v>0</v>
      </c>
      <c r="AK14" s="108">
        <f t="shared" si="28"/>
        <v>0</v>
      </c>
      <c r="AL14" s="108">
        <f t="shared" si="29"/>
        <v>0</v>
      </c>
      <c r="AM14" s="108">
        <f t="shared" si="30"/>
        <v>0</v>
      </c>
      <c r="AN14" s="108">
        <f t="shared" si="31"/>
        <v>0</v>
      </c>
      <c r="AO14" s="108">
        <f t="shared" si="32"/>
        <v>0</v>
      </c>
      <c r="AP14" s="108">
        <f t="shared" si="33"/>
        <v>0</v>
      </c>
      <c r="AQ14" s="108">
        <f t="shared" si="34"/>
        <v>0</v>
      </c>
      <c r="AR14" s="108">
        <f t="shared" si="35"/>
        <v>0</v>
      </c>
      <c r="AX14" s="108">
        <f t="shared" si="1"/>
        <v>4</v>
      </c>
      <c r="AY14" s="108">
        <f t="shared" si="2"/>
        <v>2</v>
      </c>
      <c r="AZ14" s="108">
        <f t="shared" si="3"/>
        <v>3</v>
      </c>
      <c r="BA14" s="108">
        <f t="shared" si="4"/>
        <v>4</v>
      </c>
      <c r="BB14" s="108">
        <f t="shared" si="5"/>
        <v>3</v>
      </c>
      <c r="BC14" s="108">
        <f t="shared" si="6"/>
        <v>0</v>
      </c>
      <c r="BD14" s="108">
        <f t="shared" si="7"/>
        <v>3</v>
      </c>
      <c r="BE14" s="108">
        <f t="shared" si="8"/>
        <v>0</v>
      </c>
      <c r="BF14" s="108">
        <f t="shared" si="9"/>
        <v>2</v>
      </c>
      <c r="BG14" s="108">
        <f t="shared" si="10"/>
        <v>3</v>
      </c>
      <c r="BH14" s="108">
        <f t="shared" si="23"/>
        <v>52</v>
      </c>
      <c r="BJ14" s="108">
        <f t="shared" si="11"/>
        <v>5</v>
      </c>
      <c r="BK14" s="108">
        <f t="shared" si="12"/>
        <v>5</v>
      </c>
      <c r="BL14" s="108">
        <f t="shared" si="13"/>
        <v>5</v>
      </c>
      <c r="BM14" s="108">
        <f t="shared" si="14"/>
        <v>5</v>
      </c>
      <c r="BN14" s="108">
        <f t="shared" si="15"/>
        <v>5</v>
      </c>
      <c r="BO14" s="108">
        <f t="shared" si="16"/>
        <v>0</v>
      </c>
      <c r="BP14" s="108">
        <f t="shared" si="17"/>
        <v>5</v>
      </c>
      <c r="BQ14" s="108">
        <f t="shared" si="18"/>
        <v>0</v>
      </c>
      <c r="BR14" s="108">
        <f t="shared" si="19"/>
        <v>5</v>
      </c>
      <c r="BS14" s="108">
        <f t="shared" si="20"/>
        <v>5</v>
      </c>
      <c r="BT14" s="108">
        <f t="shared" si="24"/>
        <v>90</v>
      </c>
    </row>
    <row r="15" spans="1:72" ht="25" customHeight="1" x14ac:dyDescent="0.3">
      <c r="A15" s="185"/>
      <c r="B15" s="116" t="s">
        <v>1018</v>
      </c>
      <c r="C15" s="126" t="s">
        <v>1780</v>
      </c>
      <c r="D15" s="124" t="s">
        <v>833</v>
      </c>
      <c r="E15" s="116" t="s">
        <v>424</v>
      </c>
      <c r="F15" s="111">
        <v>7.7185316000000004</v>
      </c>
      <c r="G15" s="111">
        <v>134.60876450000001</v>
      </c>
      <c r="H15" s="295" t="s">
        <v>355</v>
      </c>
      <c r="I15" s="112"/>
      <c r="J15" s="112"/>
      <c r="K15" s="295"/>
      <c r="L15" s="117">
        <v>279</v>
      </c>
      <c r="M15" s="118" t="s">
        <v>308</v>
      </c>
      <c r="N15" s="118" t="s">
        <v>298</v>
      </c>
      <c r="O15" s="118" t="s">
        <v>329</v>
      </c>
      <c r="P15" s="196" t="s">
        <v>298</v>
      </c>
      <c r="Q15" s="118" t="s">
        <v>298</v>
      </c>
      <c r="R15" s="154">
        <v>4</v>
      </c>
      <c r="S15" s="154">
        <v>4</v>
      </c>
      <c r="T15" s="154">
        <v>2</v>
      </c>
      <c r="U15" s="154">
        <v>3</v>
      </c>
      <c r="V15" s="154">
        <v>2</v>
      </c>
      <c r="W15" s="154">
        <v>3</v>
      </c>
      <c r="X15" s="154">
        <v>3</v>
      </c>
      <c r="Y15" s="154">
        <v>4</v>
      </c>
      <c r="Z15" s="154">
        <v>3</v>
      </c>
      <c r="AA15" s="154">
        <v>4</v>
      </c>
      <c r="AB15" s="296">
        <f t="shared" si="21"/>
        <v>70</v>
      </c>
      <c r="AC15" s="297">
        <f t="shared" si="26"/>
        <v>697500</v>
      </c>
      <c r="AD15" s="301">
        <f t="shared" si="22"/>
        <v>3487.5</v>
      </c>
      <c r="AE15" s="298"/>
      <c r="AJ15" s="108">
        <f t="shared" si="27"/>
        <v>0</v>
      </c>
      <c r="AK15" s="108">
        <f t="shared" si="28"/>
        <v>0</v>
      </c>
      <c r="AL15" s="108">
        <f t="shared" si="29"/>
        <v>279</v>
      </c>
      <c r="AM15" s="108">
        <f t="shared" si="30"/>
        <v>0</v>
      </c>
      <c r="AN15" s="108">
        <f t="shared" si="31"/>
        <v>279</v>
      </c>
      <c r="AO15" s="108">
        <f t="shared" si="32"/>
        <v>0</v>
      </c>
      <c r="AP15" s="108">
        <f t="shared" si="33"/>
        <v>0</v>
      </c>
      <c r="AQ15" s="108">
        <f t="shared" si="34"/>
        <v>0</v>
      </c>
      <c r="AR15" s="108">
        <f t="shared" si="35"/>
        <v>0</v>
      </c>
      <c r="AX15" s="108">
        <f t="shared" si="1"/>
        <v>4</v>
      </c>
      <c r="AY15" s="108">
        <f t="shared" si="2"/>
        <v>4</v>
      </c>
      <c r="AZ15" s="108">
        <f t="shared" si="3"/>
        <v>2</v>
      </c>
      <c r="BA15" s="108">
        <f t="shared" si="4"/>
        <v>3</v>
      </c>
      <c r="BB15" s="108">
        <f t="shared" si="5"/>
        <v>2</v>
      </c>
      <c r="BC15" s="108">
        <f t="shared" si="6"/>
        <v>3</v>
      </c>
      <c r="BD15" s="108">
        <f t="shared" si="7"/>
        <v>3</v>
      </c>
      <c r="BE15" s="108">
        <f t="shared" si="8"/>
        <v>4</v>
      </c>
      <c r="BF15" s="108">
        <f t="shared" si="9"/>
        <v>3</v>
      </c>
      <c r="BG15" s="108">
        <f t="shared" si="10"/>
        <v>4</v>
      </c>
      <c r="BH15" s="108">
        <f t="shared" si="23"/>
        <v>70</v>
      </c>
      <c r="BJ15" s="108">
        <f t="shared" si="11"/>
        <v>5</v>
      </c>
      <c r="BK15" s="108">
        <f t="shared" si="12"/>
        <v>5</v>
      </c>
      <c r="BL15" s="108">
        <f t="shared" si="13"/>
        <v>5</v>
      </c>
      <c r="BM15" s="108">
        <f t="shared" si="14"/>
        <v>5</v>
      </c>
      <c r="BN15" s="108">
        <f t="shared" si="15"/>
        <v>5</v>
      </c>
      <c r="BO15" s="108">
        <f t="shared" si="16"/>
        <v>5</v>
      </c>
      <c r="BP15" s="108">
        <f t="shared" si="17"/>
        <v>5</v>
      </c>
      <c r="BQ15" s="108">
        <f t="shared" si="18"/>
        <v>5</v>
      </c>
      <c r="BR15" s="108">
        <f t="shared" si="19"/>
        <v>5</v>
      </c>
      <c r="BS15" s="108">
        <f t="shared" si="20"/>
        <v>5</v>
      </c>
      <c r="BT15" s="108">
        <f t="shared" si="24"/>
        <v>100</v>
      </c>
    </row>
    <row r="16" spans="1:72" ht="25" customHeight="1" x14ac:dyDescent="0.3">
      <c r="A16" s="185"/>
      <c r="B16" s="116" t="s">
        <v>1019</v>
      </c>
      <c r="C16" s="126" t="s">
        <v>846</v>
      </c>
      <c r="D16" s="124" t="s">
        <v>833</v>
      </c>
      <c r="E16" s="116" t="s">
        <v>424</v>
      </c>
      <c r="F16" s="111">
        <v>7.7185316000000004</v>
      </c>
      <c r="G16" s="111">
        <v>134.60876450000001</v>
      </c>
      <c r="H16" s="295" t="s">
        <v>847</v>
      </c>
      <c r="I16" s="112"/>
      <c r="J16" s="112" t="s">
        <v>848</v>
      </c>
      <c r="K16" s="295" t="s">
        <v>311</v>
      </c>
      <c r="L16" s="117">
        <v>29</v>
      </c>
      <c r="M16" s="118" t="s">
        <v>308</v>
      </c>
      <c r="N16" s="118" t="s">
        <v>298</v>
      </c>
      <c r="O16" s="118" t="s">
        <v>329</v>
      </c>
      <c r="P16" s="196" t="s">
        <v>298</v>
      </c>
      <c r="Q16" s="118" t="s">
        <v>298</v>
      </c>
      <c r="R16" s="154">
        <v>4</v>
      </c>
      <c r="S16" s="154">
        <v>4</v>
      </c>
      <c r="T16" s="154">
        <v>4</v>
      </c>
      <c r="U16" s="154">
        <v>2</v>
      </c>
      <c r="V16" s="154">
        <v>2</v>
      </c>
      <c r="W16" s="154">
        <v>1</v>
      </c>
      <c r="X16" s="154">
        <v>2</v>
      </c>
      <c r="Y16" s="154" t="s">
        <v>92</v>
      </c>
      <c r="Z16" s="154">
        <v>2</v>
      </c>
      <c r="AA16" s="154">
        <v>5</v>
      </c>
      <c r="AB16" s="296">
        <f t="shared" si="21"/>
        <v>72.631578947368425</v>
      </c>
      <c r="AC16" s="297">
        <f t="shared" si="26"/>
        <v>72500</v>
      </c>
      <c r="AD16" s="301">
        <f t="shared" si="22"/>
        <v>362.5</v>
      </c>
      <c r="AE16" s="298"/>
      <c r="AJ16" s="108">
        <f t="shared" si="27"/>
        <v>0</v>
      </c>
      <c r="AK16" s="108">
        <f t="shared" si="28"/>
        <v>0</v>
      </c>
      <c r="AL16" s="108">
        <f t="shared" si="29"/>
        <v>0</v>
      </c>
      <c r="AM16" s="108">
        <f t="shared" si="30"/>
        <v>29</v>
      </c>
      <c r="AN16" s="108">
        <f t="shared" si="31"/>
        <v>29</v>
      </c>
      <c r="AO16" s="108">
        <f t="shared" si="32"/>
        <v>29</v>
      </c>
      <c r="AP16" s="108">
        <f t="shared" si="33"/>
        <v>29</v>
      </c>
      <c r="AQ16" s="108">
        <f t="shared" si="34"/>
        <v>0</v>
      </c>
      <c r="AR16" s="108">
        <f t="shared" si="35"/>
        <v>29</v>
      </c>
      <c r="AX16" s="108">
        <f t="shared" si="1"/>
        <v>4</v>
      </c>
      <c r="AY16" s="108">
        <f t="shared" si="2"/>
        <v>4</v>
      </c>
      <c r="AZ16" s="108">
        <f t="shared" si="3"/>
        <v>4</v>
      </c>
      <c r="BA16" s="108">
        <f t="shared" si="4"/>
        <v>2</v>
      </c>
      <c r="BB16" s="108">
        <f t="shared" si="5"/>
        <v>2</v>
      </c>
      <c r="BC16" s="108">
        <f t="shared" si="6"/>
        <v>1</v>
      </c>
      <c r="BD16" s="108">
        <f t="shared" si="7"/>
        <v>2</v>
      </c>
      <c r="BE16" s="108">
        <f t="shared" si="8"/>
        <v>0</v>
      </c>
      <c r="BF16" s="108">
        <f t="shared" si="9"/>
        <v>2</v>
      </c>
      <c r="BG16" s="108">
        <f t="shared" si="10"/>
        <v>5</v>
      </c>
      <c r="BH16" s="108">
        <f t="shared" si="23"/>
        <v>69</v>
      </c>
      <c r="BJ16" s="108">
        <f t="shared" si="11"/>
        <v>5</v>
      </c>
      <c r="BK16" s="108">
        <f t="shared" si="12"/>
        <v>5</v>
      </c>
      <c r="BL16" s="108">
        <f t="shared" si="13"/>
        <v>5</v>
      </c>
      <c r="BM16" s="108">
        <f t="shared" si="14"/>
        <v>5</v>
      </c>
      <c r="BN16" s="108">
        <f t="shared" si="15"/>
        <v>5</v>
      </c>
      <c r="BO16" s="108">
        <f t="shared" si="16"/>
        <v>5</v>
      </c>
      <c r="BP16" s="108">
        <f t="shared" si="17"/>
        <v>5</v>
      </c>
      <c r="BQ16" s="108">
        <f t="shared" si="18"/>
        <v>0</v>
      </c>
      <c r="BR16" s="108">
        <f t="shared" si="19"/>
        <v>5</v>
      </c>
      <c r="BS16" s="108">
        <f t="shared" si="20"/>
        <v>5</v>
      </c>
      <c r="BT16" s="108">
        <f t="shared" si="24"/>
        <v>95</v>
      </c>
    </row>
    <row r="17" spans="1:72" ht="25" customHeight="1" x14ac:dyDescent="0.3">
      <c r="A17" s="185"/>
      <c r="B17" s="116" t="s">
        <v>1020</v>
      </c>
      <c r="C17" s="126" t="s">
        <v>849</v>
      </c>
      <c r="D17" s="124" t="s">
        <v>833</v>
      </c>
      <c r="E17" s="116" t="s">
        <v>850</v>
      </c>
      <c r="F17" s="111">
        <v>7.7066794999999999</v>
      </c>
      <c r="G17" s="111">
        <v>134.6293335</v>
      </c>
      <c r="H17" s="295" t="s">
        <v>331</v>
      </c>
      <c r="I17" s="112"/>
      <c r="J17" s="112" t="s">
        <v>848</v>
      </c>
      <c r="K17" s="295" t="s">
        <v>311</v>
      </c>
      <c r="L17" s="117">
        <v>84</v>
      </c>
      <c r="M17" s="118" t="s">
        <v>308</v>
      </c>
      <c r="N17" s="118" t="s">
        <v>298</v>
      </c>
      <c r="O17" s="118" t="s">
        <v>329</v>
      </c>
      <c r="P17" s="196" t="s">
        <v>322</v>
      </c>
      <c r="Q17" s="118" t="s">
        <v>309</v>
      </c>
      <c r="R17" s="154">
        <v>4</v>
      </c>
      <c r="S17" s="154">
        <v>4</v>
      </c>
      <c r="T17" s="154">
        <v>4</v>
      </c>
      <c r="U17" s="154">
        <v>3</v>
      </c>
      <c r="V17" s="154">
        <v>3</v>
      </c>
      <c r="W17" s="154" t="s">
        <v>311</v>
      </c>
      <c r="X17" s="154">
        <v>3</v>
      </c>
      <c r="Y17" s="154">
        <v>5</v>
      </c>
      <c r="Z17" s="154">
        <v>4</v>
      </c>
      <c r="AA17" s="154">
        <v>5</v>
      </c>
      <c r="AB17" s="296">
        <f t="shared" si="21"/>
        <v>82.10526315789474</v>
      </c>
      <c r="AC17" s="297">
        <f t="shared" si="26"/>
        <v>210000</v>
      </c>
      <c r="AD17" s="301">
        <f t="shared" si="22"/>
        <v>1050</v>
      </c>
      <c r="AE17" s="298"/>
      <c r="AJ17" s="108">
        <f t="shared" si="27"/>
        <v>0</v>
      </c>
      <c r="AK17" s="108">
        <f t="shared" si="28"/>
        <v>0</v>
      </c>
      <c r="AL17" s="108">
        <f t="shared" si="29"/>
        <v>0</v>
      </c>
      <c r="AM17" s="108">
        <f t="shared" si="30"/>
        <v>0</v>
      </c>
      <c r="AN17" s="108">
        <f t="shared" si="31"/>
        <v>0</v>
      </c>
      <c r="AO17" s="108">
        <f t="shared" si="32"/>
        <v>0</v>
      </c>
      <c r="AP17" s="108">
        <f t="shared" si="33"/>
        <v>0</v>
      </c>
      <c r="AQ17" s="108">
        <f t="shared" si="34"/>
        <v>0</v>
      </c>
      <c r="AR17" s="108">
        <f t="shared" si="35"/>
        <v>0</v>
      </c>
      <c r="AX17" s="108">
        <f t="shared" si="1"/>
        <v>4</v>
      </c>
      <c r="AY17" s="108">
        <f t="shared" si="2"/>
        <v>4</v>
      </c>
      <c r="AZ17" s="108">
        <f t="shared" si="3"/>
        <v>4</v>
      </c>
      <c r="BA17" s="108">
        <f t="shared" si="4"/>
        <v>3</v>
      </c>
      <c r="BB17" s="108">
        <f t="shared" si="5"/>
        <v>3</v>
      </c>
      <c r="BC17" s="108">
        <f t="shared" si="6"/>
        <v>0</v>
      </c>
      <c r="BD17" s="108">
        <f t="shared" si="7"/>
        <v>3</v>
      </c>
      <c r="BE17" s="108">
        <f t="shared" si="8"/>
        <v>5</v>
      </c>
      <c r="BF17" s="108">
        <f t="shared" si="9"/>
        <v>4</v>
      </c>
      <c r="BG17" s="108">
        <f t="shared" si="10"/>
        <v>5</v>
      </c>
      <c r="BH17" s="108">
        <f t="shared" si="23"/>
        <v>78</v>
      </c>
      <c r="BJ17" s="108">
        <f t="shared" si="11"/>
        <v>5</v>
      </c>
      <c r="BK17" s="108">
        <f t="shared" si="12"/>
        <v>5</v>
      </c>
      <c r="BL17" s="108">
        <f t="shared" si="13"/>
        <v>5</v>
      </c>
      <c r="BM17" s="108">
        <f t="shared" si="14"/>
        <v>5</v>
      </c>
      <c r="BN17" s="108">
        <f t="shared" si="15"/>
        <v>5</v>
      </c>
      <c r="BO17" s="108">
        <f t="shared" si="16"/>
        <v>0</v>
      </c>
      <c r="BP17" s="108">
        <f t="shared" si="17"/>
        <v>5</v>
      </c>
      <c r="BQ17" s="108">
        <f t="shared" si="18"/>
        <v>5</v>
      </c>
      <c r="BR17" s="108">
        <f t="shared" si="19"/>
        <v>5</v>
      </c>
      <c r="BS17" s="108">
        <f t="shared" si="20"/>
        <v>5</v>
      </c>
      <c r="BT17" s="108">
        <f t="shared" si="24"/>
        <v>95</v>
      </c>
    </row>
    <row r="18" spans="1:72" ht="25" customHeight="1" x14ac:dyDescent="0.3">
      <c r="A18" s="185"/>
      <c r="B18" s="116" t="s">
        <v>1022</v>
      </c>
      <c r="C18" s="126" t="s">
        <v>851</v>
      </c>
      <c r="D18" s="124" t="s">
        <v>833</v>
      </c>
      <c r="E18" s="116" t="s">
        <v>462</v>
      </c>
      <c r="F18" s="111">
        <v>7.6881152000000004</v>
      </c>
      <c r="G18" s="111">
        <v>134.6260662</v>
      </c>
      <c r="H18" s="295" t="s">
        <v>331</v>
      </c>
      <c r="I18" s="112"/>
      <c r="J18" s="112" t="s">
        <v>848</v>
      </c>
      <c r="K18" s="295" t="s">
        <v>311</v>
      </c>
      <c r="L18" s="117">
        <v>83</v>
      </c>
      <c r="M18" s="118" t="s">
        <v>308</v>
      </c>
      <c r="N18" s="118" t="s">
        <v>298</v>
      </c>
      <c r="O18" s="118" t="s">
        <v>329</v>
      </c>
      <c r="P18" s="196" t="s">
        <v>322</v>
      </c>
      <c r="Q18" s="118" t="s">
        <v>309</v>
      </c>
      <c r="R18" s="154">
        <v>4</v>
      </c>
      <c r="S18" s="154">
        <v>4</v>
      </c>
      <c r="T18" s="154">
        <v>4</v>
      </c>
      <c r="U18" s="154">
        <v>3</v>
      </c>
      <c r="V18" s="154">
        <v>3</v>
      </c>
      <c r="W18" s="154">
        <v>4</v>
      </c>
      <c r="X18" s="154">
        <v>4</v>
      </c>
      <c r="Y18" s="154">
        <v>4</v>
      </c>
      <c r="Z18" s="154">
        <v>4</v>
      </c>
      <c r="AA18" s="154">
        <v>4</v>
      </c>
      <c r="AB18" s="296">
        <f t="shared" si="21"/>
        <v>78</v>
      </c>
      <c r="AC18" s="297">
        <f t="shared" si="26"/>
        <v>207500</v>
      </c>
      <c r="AD18" s="301">
        <f t="shared" si="22"/>
        <v>1037.5</v>
      </c>
      <c r="AE18" s="298"/>
      <c r="AJ18" s="108">
        <f t="shared" si="27"/>
        <v>0</v>
      </c>
      <c r="AK18" s="108">
        <f t="shared" si="28"/>
        <v>0</v>
      </c>
      <c r="AL18" s="108">
        <f t="shared" si="29"/>
        <v>0</v>
      </c>
      <c r="AM18" s="108">
        <f t="shared" si="30"/>
        <v>0</v>
      </c>
      <c r="AN18" s="108">
        <f t="shared" si="31"/>
        <v>0</v>
      </c>
      <c r="AO18" s="108">
        <f t="shared" si="32"/>
        <v>0</v>
      </c>
      <c r="AP18" s="108">
        <f t="shared" si="33"/>
        <v>0</v>
      </c>
      <c r="AQ18" s="108">
        <f t="shared" si="34"/>
        <v>0</v>
      </c>
      <c r="AR18" s="108">
        <f t="shared" si="35"/>
        <v>0</v>
      </c>
      <c r="AX18" s="108">
        <f t="shared" si="1"/>
        <v>4</v>
      </c>
      <c r="AY18" s="108">
        <f t="shared" si="2"/>
        <v>4</v>
      </c>
      <c r="AZ18" s="108">
        <f t="shared" si="3"/>
        <v>4</v>
      </c>
      <c r="BA18" s="108">
        <f t="shared" si="4"/>
        <v>3</v>
      </c>
      <c r="BB18" s="108">
        <f t="shared" si="5"/>
        <v>3</v>
      </c>
      <c r="BC18" s="108">
        <f t="shared" si="6"/>
        <v>4</v>
      </c>
      <c r="BD18" s="108">
        <f t="shared" si="7"/>
        <v>4</v>
      </c>
      <c r="BE18" s="108">
        <f t="shared" si="8"/>
        <v>4</v>
      </c>
      <c r="BF18" s="108">
        <f t="shared" si="9"/>
        <v>4</v>
      </c>
      <c r="BG18" s="108">
        <f t="shared" si="10"/>
        <v>4</v>
      </c>
      <c r="BH18" s="108">
        <f t="shared" si="23"/>
        <v>78</v>
      </c>
      <c r="BJ18" s="108">
        <f t="shared" si="11"/>
        <v>5</v>
      </c>
      <c r="BK18" s="108">
        <f t="shared" si="12"/>
        <v>5</v>
      </c>
      <c r="BL18" s="108">
        <f t="shared" si="13"/>
        <v>5</v>
      </c>
      <c r="BM18" s="108">
        <f t="shared" si="14"/>
        <v>5</v>
      </c>
      <c r="BN18" s="108">
        <f t="shared" si="15"/>
        <v>5</v>
      </c>
      <c r="BO18" s="108">
        <f t="shared" si="16"/>
        <v>5</v>
      </c>
      <c r="BP18" s="108">
        <f t="shared" si="17"/>
        <v>5</v>
      </c>
      <c r="BQ18" s="108">
        <f t="shared" si="18"/>
        <v>5</v>
      </c>
      <c r="BR18" s="108">
        <f t="shared" si="19"/>
        <v>5</v>
      </c>
      <c r="BS18" s="108">
        <f t="shared" si="20"/>
        <v>5</v>
      </c>
      <c r="BT18" s="108">
        <f t="shared" si="24"/>
        <v>100</v>
      </c>
    </row>
    <row r="19" spans="1:72" ht="25" customHeight="1" x14ac:dyDescent="0.3">
      <c r="A19" s="185"/>
      <c r="B19" s="116" t="s">
        <v>1021</v>
      </c>
      <c r="C19" s="126" t="s">
        <v>852</v>
      </c>
      <c r="D19" s="124" t="s">
        <v>833</v>
      </c>
      <c r="E19" s="116" t="s">
        <v>462</v>
      </c>
      <c r="F19" s="111">
        <v>7.6926489</v>
      </c>
      <c r="G19" s="111">
        <v>134.63332199999999</v>
      </c>
      <c r="H19" s="295" t="s">
        <v>853</v>
      </c>
      <c r="I19" s="112"/>
      <c r="J19" s="112" t="s">
        <v>848</v>
      </c>
      <c r="K19" s="295" t="s">
        <v>311</v>
      </c>
      <c r="L19" s="117">
        <v>156</v>
      </c>
      <c r="M19" s="118" t="s">
        <v>308</v>
      </c>
      <c r="N19" s="118" t="s">
        <v>298</v>
      </c>
      <c r="O19" s="118" t="s">
        <v>329</v>
      </c>
      <c r="P19" s="196" t="s">
        <v>322</v>
      </c>
      <c r="Q19" s="118" t="s">
        <v>309</v>
      </c>
      <c r="R19" s="154">
        <v>4</v>
      </c>
      <c r="S19" s="154">
        <v>4</v>
      </c>
      <c r="T19" s="154">
        <v>4</v>
      </c>
      <c r="U19" s="154">
        <v>3</v>
      </c>
      <c r="V19" s="154">
        <v>4</v>
      </c>
      <c r="W19" s="154">
        <v>3</v>
      </c>
      <c r="X19" s="154">
        <v>4</v>
      </c>
      <c r="Y19" s="154">
        <v>4</v>
      </c>
      <c r="Z19" s="154">
        <v>3</v>
      </c>
      <c r="AA19" s="154">
        <v>5</v>
      </c>
      <c r="AB19" s="296">
        <f t="shared" si="21"/>
        <v>81</v>
      </c>
      <c r="AC19" s="297">
        <f t="shared" si="26"/>
        <v>390000</v>
      </c>
      <c r="AD19" s="301">
        <f t="shared" si="22"/>
        <v>1950</v>
      </c>
      <c r="AE19" s="470" t="s">
        <v>833</v>
      </c>
      <c r="AF19" s="471"/>
      <c r="AJ19" s="108">
        <f t="shared" si="27"/>
        <v>0</v>
      </c>
      <c r="AK19" s="108">
        <f t="shared" si="28"/>
        <v>0</v>
      </c>
      <c r="AL19" s="108">
        <f t="shared" si="29"/>
        <v>0</v>
      </c>
      <c r="AM19" s="108">
        <f t="shared" si="30"/>
        <v>0</v>
      </c>
      <c r="AN19" s="108">
        <f t="shared" si="31"/>
        <v>0</v>
      </c>
      <c r="AO19" s="108">
        <f t="shared" si="32"/>
        <v>0</v>
      </c>
      <c r="AP19" s="108">
        <f t="shared" si="33"/>
        <v>0</v>
      </c>
      <c r="AQ19" s="108">
        <f t="shared" si="34"/>
        <v>0</v>
      </c>
      <c r="AR19" s="108">
        <f t="shared" si="35"/>
        <v>0</v>
      </c>
      <c r="AX19" s="108">
        <f t="shared" si="1"/>
        <v>4</v>
      </c>
      <c r="AY19" s="108">
        <f t="shared" si="2"/>
        <v>4</v>
      </c>
      <c r="AZ19" s="108">
        <f t="shared" si="3"/>
        <v>4</v>
      </c>
      <c r="BA19" s="108">
        <f t="shared" si="4"/>
        <v>3</v>
      </c>
      <c r="BB19" s="108">
        <f t="shared" si="5"/>
        <v>4</v>
      </c>
      <c r="BC19" s="108">
        <f t="shared" si="6"/>
        <v>3</v>
      </c>
      <c r="BD19" s="108">
        <f t="shared" si="7"/>
        <v>4</v>
      </c>
      <c r="BE19" s="108">
        <f t="shared" si="8"/>
        <v>4</v>
      </c>
      <c r="BF19" s="108">
        <f t="shared" si="9"/>
        <v>3</v>
      </c>
      <c r="BG19" s="108">
        <f t="shared" si="10"/>
        <v>5</v>
      </c>
      <c r="BH19" s="108">
        <f t="shared" si="23"/>
        <v>81</v>
      </c>
      <c r="BJ19" s="108">
        <f t="shared" si="11"/>
        <v>5</v>
      </c>
      <c r="BK19" s="108">
        <f t="shared" si="12"/>
        <v>5</v>
      </c>
      <c r="BL19" s="108">
        <f t="shared" si="13"/>
        <v>5</v>
      </c>
      <c r="BM19" s="108">
        <f t="shared" si="14"/>
        <v>5</v>
      </c>
      <c r="BN19" s="108">
        <f t="shared" si="15"/>
        <v>5</v>
      </c>
      <c r="BO19" s="108">
        <f t="shared" si="16"/>
        <v>5</v>
      </c>
      <c r="BP19" s="108">
        <f t="shared" si="17"/>
        <v>5</v>
      </c>
      <c r="BQ19" s="108">
        <f t="shared" si="18"/>
        <v>5</v>
      </c>
      <c r="BR19" s="108">
        <f t="shared" si="19"/>
        <v>5</v>
      </c>
      <c r="BS19" s="108">
        <f t="shared" si="20"/>
        <v>5</v>
      </c>
      <c r="BT19" s="108">
        <f t="shared" si="24"/>
        <v>100</v>
      </c>
    </row>
    <row r="20" spans="1:72" ht="25" customHeight="1" x14ac:dyDescent="0.3">
      <c r="A20" s="185"/>
      <c r="B20" s="116"/>
      <c r="C20" s="126"/>
      <c r="D20" s="124"/>
      <c r="E20" s="116"/>
      <c r="F20" s="111"/>
      <c r="G20" s="111"/>
      <c r="H20" s="295"/>
      <c r="I20" s="112"/>
      <c r="J20" s="112"/>
      <c r="K20" s="295"/>
      <c r="L20" s="117"/>
      <c r="M20" s="118"/>
      <c r="N20" s="118"/>
      <c r="O20" s="118"/>
      <c r="P20" s="196"/>
      <c r="Q20" s="118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296"/>
      <c r="AC20" s="297"/>
      <c r="AD20" s="301"/>
      <c r="AE20" s="307">
        <f>SUM(AC9:AC19)</f>
        <v>3030000</v>
      </c>
      <c r="AF20" s="302">
        <f>SUM(AD9:AD19)</f>
        <v>15150</v>
      </c>
      <c r="AG20" s="303"/>
      <c r="AH20" s="303"/>
      <c r="AI20" s="303"/>
      <c r="AJ20" s="304">
        <f>SUM(AJ9:AJ19)*AJ$2*$AS$1</f>
        <v>0</v>
      </c>
      <c r="AK20" s="304">
        <f t="shared" ref="AK20:AR20" si="36">SUM(AK9:AK19)*AK$2*$AS$1</f>
        <v>0</v>
      </c>
      <c r="AL20" s="304">
        <f t="shared" si="36"/>
        <v>106500</v>
      </c>
      <c r="AM20" s="304">
        <f t="shared" si="36"/>
        <v>72500</v>
      </c>
      <c r="AN20" s="304">
        <f t="shared" si="36"/>
        <v>113750</v>
      </c>
      <c r="AO20" s="304">
        <f t="shared" si="36"/>
        <v>14500.000000000002</v>
      </c>
      <c r="AP20" s="304">
        <f t="shared" si="36"/>
        <v>30800</v>
      </c>
      <c r="AQ20" s="304">
        <f t="shared" si="36"/>
        <v>0</v>
      </c>
      <c r="AR20" s="304">
        <f t="shared" si="36"/>
        <v>5075.0000000000009</v>
      </c>
      <c r="AS20" s="305">
        <f>SUM(AJ20:AR20)</f>
        <v>343125</v>
      </c>
      <c r="AX20" s="108">
        <f t="shared" si="1"/>
        <v>0</v>
      </c>
      <c r="AY20" s="108">
        <f t="shared" si="2"/>
        <v>0</v>
      </c>
      <c r="AZ20" s="108">
        <f t="shared" si="3"/>
        <v>0</v>
      </c>
      <c r="BA20" s="108">
        <f t="shared" si="4"/>
        <v>0</v>
      </c>
      <c r="BB20" s="108">
        <f t="shared" si="5"/>
        <v>0</v>
      </c>
      <c r="BC20" s="108">
        <f t="shared" si="6"/>
        <v>0</v>
      </c>
      <c r="BD20" s="108">
        <f t="shared" si="7"/>
        <v>0</v>
      </c>
      <c r="BE20" s="108">
        <f t="shared" si="8"/>
        <v>0</v>
      </c>
      <c r="BF20" s="108">
        <f t="shared" si="9"/>
        <v>0</v>
      </c>
      <c r="BG20" s="108">
        <f t="shared" si="10"/>
        <v>0</v>
      </c>
      <c r="BH20" s="108">
        <f t="shared" si="23"/>
        <v>0</v>
      </c>
      <c r="BJ20" s="108">
        <f t="shared" si="11"/>
        <v>0</v>
      </c>
      <c r="BK20" s="108">
        <f t="shared" si="12"/>
        <v>0</v>
      </c>
      <c r="BL20" s="108">
        <f t="shared" si="13"/>
        <v>0</v>
      </c>
      <c r="BM20" s="108">
        <f t="shared" si="14"/>
        <v>0</v>
      </c>
      <c r="BN20" s="108">
        <f t="shared" si="15"/>
        <v>0</v>
      </c>
      <c r="BO20" s="108">
        <f t="shared" si="16"/>
        <v>0</v>
      </c>
      <c r="BP20" s="108">
        <f t="shared" si="17"/>
        <v>0</v>
      </c>
      <c r="BQ20" s="108">
        <f t="shared" si="18"/>
        <v>0</v>
      </c>
      <c r="BR20" s="108">
        <f t="shared" si="19"/>
        <v>0</v>
      </c>
      <c r="BS20" s="108">
        <f t="shared" si="20"/>
        <v>0</v>
      </c>
      <c r="BT20" s="108">
        <f t="shared" si="24"/>
        <v>0</v>
      </c>
    </row>
    <row r="21" spans="1:72" ht="22.5" customHeight="1" x14ac:dyDescent="0.3">
      <c r="A21" s="185"/>
      <c r="B21" s="116" t="s">
        <v>1336</v>
      </c>
      <c r="C21" s="126" t="s">
        <v>1781</v>
      </c>
      <c r="D21" s="126" t="s">
        <v>1560</v>
      </c>
      <c r="E21" s="116" t="s">
        <v>487</v>
      </c>
      <c r="F21" s="111">
        <f>7+38/60+51/3600</f>
        <v>7.6475</v>
      </c>
      <c r="G21" s="111">
        <f>134+38/60+22/60</f>
        <v>135</v>
      </c>
      <c r="H21" s="295" t="s">
        <v>1782</v>
      </c>
      <c r="I21" s="112">
        <v>2019</v>
      </c>
      <c r="J21" s="112" t="s">
        <v>848</v>
      </c>
      <c r="K21" s="295" t="s">
        <v>311</v>
      </c>
      <c r="L21" s="114">
        <v>680</v>
      </c>
      <c r="M21" s="129" t="s">
        <v>308</v>
      </c>
      <c r="N21" s="129" t="s">
        <v>159</v>
      </c>
      <c r="O21" s="129" t="s">
        <v>1279</v>
      </c>
      <c r="P21" s="118" t="s">
        <v>1600</v>
      </c>
      <c r="Q21" s="129" t="s">
        <v>1564</v>
      </c>
      <c r="R21" s="134">
        <v>5</v>
      </c>
      <c r="S21" s="134">
        <v>5</v>
      </c>
      <c r="T21" s="134">
        <v>5</v>
      </c>
      <c r="U21" s="134">
        <v>5</v>
      </c>
      <c r="V21" s="134">
        <v>5</v>
      </c>
      <c r="W21" s="134">
        <v>5</v>
      </c>
      <c r="X21" s="134">
        <v>5</v>
      </c>
      <c r="Y21" s="134">
        <v>5</v>
      </c>
      <c r="Z21" s="154">
        <v>5</v>
      </c>
      <c r="AA21" s="134">
        <v>5</v>
      </c>
      <c r="AB21" s="296">
        <f t="shared" si="21"/>
        <v>100</v>
      </c>
      <c r="AC21" s="297">
        <f t="shared" ref="AC21:AC29" si="37">L21*AC$2</f>
        <v>1700000</v>
      </c>
      <c r="AD21" s="301">
        <f t="shared" si="22"/>
        <v>8500</v>
      </c>
      <c r="AE21" s="289"/>
      <c r="AJ21" s="108">
        <f t="shared" ref="AJ21:AJ29" si="38">IF(OR(R21=1,R21=2),$L21,0)</f>
        <v>0</v>
      </c>
      <c r="AK21" s="108">
        <f t="shared" ref="AK21:AK29" si="39">IF(OR(S21=1,S21=2),$L21,0)</f>
        <v>0</v>
      </c>
      <c r="AL21" s="108">
        <f t="shared" ref="AL21:AL29" si="40">IF(OR(T21=1,T21=2),$L21,0)</f>
        <v>0</v>
      </c>
      <c r="AM21" s="108">
        <f t="shared" ref="AM21:AM29" si="41">IF(OR(U21=1,U21=2),$L21,0)</f>
        <v>0</v>
      </c>
      <c r="AN21" s="108">
        <f t="shared" ref="AN21:AN29" si="42">IF(OR(V21=1,V21=2),$L21,0)</f>
        <v>0</v>
      </c>
      <c r="AO21" s="108">
        <f t="shared" ref="AO21:AO29" si="43">IF(OR(W21=1,W21=2),$L21,0)</f>
        <v>0</v>
      </c>
      <c r="AP21" s="108">
        <f t="shared" ref="AP21:AP29" si="44">IF(OR(X21=1,X21=2),$L21,0)</f>
        <v>0</v>
      </c>
      <c r="AQ21" s="108">
        <f t="shared" ref="AQ21:AQ29" si="45">IF(OR(Y21=1,Y21=2),$L21,0)</f>
        <v>0</v>
      </c>
      <c r="AR21" s="108">
        <f t="shared" ref="AR21:AR29" si="46">IF(OR(Z21=1,Z21=2),$L21,0)</f>
        <v>0</v>
      </c>
      <c r="AX21" s="108">
        <f t="shared" si="1"/>
        <v>5</v>
      </c>
      <c r="AY21" s="108">
        <f t="shared" si="2"/>
        <v>5</v>
      </c>
      <c r="AZ21" s="108">
        <f t="shared" si="3"/>
        <v>5</v>
      </c>
      <c r="BA21" s="108">
        <f t="shared" si="4"/>
        <v>5</v>
      </c>
      <c r="BB21" s="108">
        <f t="shared" si="5"/>
        <v>5</v>
      </c>
      <c r="BC21" s="108">
        <f t="shared" si="6"/>
        <v>5</v>
      </c>
      <c r="BD21" s="108">
        <f t="shared" si="7"/>
        <v>5</v>
      </c>
      <c r="BE21" s="108">
        <f t="shared" si="8"/>
        <v>5</v>
      </c>
      <c r="BF21" s="108">
        <f t="shared" si="9"/>
        <v>5</v>
      </c>
      <c r="BG21" s="108">
        <f t="shared" si="10"/>
        <v>5</v>
      </c>
      <c r="BH21" s="108">
        <f t="shared" si="23"/>
        <v>100</v>
      </c>
      <c r="BJ21" s="108">
        <f t="shared" si="11"/>
        <v>5</v>
      </c>
      <c r="BK21" s="108">
        <f t="shared" si="12"/>
        <v>5</v>
      </c>
      <c r="BL21" s="108">
        <f t="shared" si="13"/>
        <v>5</v>
      </c>
      <c r="BM21" s="108">
        <f t="shared" si="14"/>
        <v>5</v>
      </c>
      <c r="BN21" s="108">
        <f t="shared" si="15"/>
        <v>5</v>
      </c>
      <c r="BO21" s="108">
        <f t="shared" si="16"/>
        <v>5</v>
      </c>
      <c r="BP21" s="108">
        <f t="shared" si="17"/>
        <v>5</v>
      </c>
      <c r="BQ21" s="108">
        <f t="shared" si="18"/>
        <v>5</v>
      </c>
      <c r="BR21" s="108">
        <f t="shared" si="19"/>
        <v>5</v>
      </c>
      <c r="BS21" s="108">
        <f t="shared" si="20"/>
        <v>5</v>
      </c>
      <c r="BT21" s="108">
        <f t="shared" si="24"/>
        <v>100</v>
      </c>
    </row>
    <row r="22" spans="1:72" ht="22.5" customHeight="1" x14ac:dyDescent="0.3">
      <c r="A22" s="185"/>
      <c r="B22" s="116" t="s">
        <v>1582</v>
      </c>
      <c r="C22" s="126" t="s">
        <v>1559</v>
      </c>
      <c r="D22" s="126" t="s">
        <v>1560</v>
      </c>
      <c r="E22" s="116" t="s">
        <v>418</v>
      </c>
      <c r="F22" s="111">
        <f>7+38.57011/60</f>
        <v>7.642835166666667</v>
      </c>
      <c r="G22" s="111">
        <f>134+37.86255/60</f>
        <v>134.63104250000001</v>
      </c>
      <c r="H22" s="295" t="s">
        <v>1606</v>
      </c>
      <c r="I22" s="112">
        <v>1994</v>
      </c>
      <c r="J22" s="112" t="s">
        <v>848</v>
      </c>
      <c r="K22" s="295" t="s">
        <v>311</v>
      </c>
      <c r="L22" s="114">
        <v>42</v>
      </c>
      <c r="M22" s="129" t="s">
        <v>308</v>
      </c>
      <c r="N22" s="129" t="s">
        <v>164</v>
      </c>
      <c r="O22" s="129" t="s">
        <v>92</v>
      </c>
      <c r="P22" s="129" t="s">
        <v>298</v>
      </c>
      <c r="Q22" s="129" t="s">
        <v>1561</v>
      </c>
      <c r="R22" s="134">
        <v>4</v>
      </c>
      <c r="S22" s="134">
        <v>4</v>
      </c>
      <c r="T22" s="134">
        <v>4</v>
      </c>
      <c r="U22" s="134">
        <v>5</v>
      </c>
      <c r="V22" s="134">
        <v>4</v>
      </c>
      <c r="W22" s="134">
        <v>4</v>
      </c>
      <c r="X22" s="134" t="s">
        <v>1107</v>
      </c>
      <c r="Y22" s="134" t="s">
        <v>1107</v>
      </c>
      <c r="Z22" s="154">
        <v>3</v>
      </c>
      <c r="AA22" s="134">
        <v>5</v>
      </c>
      <c r="AB22" s="296">
        <f t="shared" si="21"/>
        <v>84.444444444444443</v>
      </c>
      <c r="AC22" s="297">
        <f t="shared" si="37"/>
        <v>105000</v>
      </c>
      <c r="AD22" s="301">
        <f t="shared" si="22"/>
        <v>525</v>
      </c>
      <c r="AE22" s="289"/>
      <c r="AJ22" s="108">
        <f t="shared" si="38"/>
        <v>0</v>
      </c>
      <c r="AK22" s="108">
        <f t="shared" si="39"/>
        <v>0</v>
      </c>
      <c r="AL22" s="108">
        <f t="shared" si="40"/>
        <v>0</v>
      </c>
      <c r="AM22" s="108">
        <f t="shared" si="41"/>
        <v>0</v>
      </c>
      <c r="AN22" s="108">
        <f t="shared" si="42"/>
        <v>0</v>
      </c>
      <c r="AO22" s="108">
        <f t="shared" si="43"/>
        <v>0</v>
      </c>
      <c r="AP22" s="108">
        <f t="shared" si="44"/>
        <v>0</v>
      </c>
      <c r="AQ22" s="108">
        <f t="shared" si="45"/>
        <v>0</v>
      </c>
      <c r="AR22" s="108">
        <f t="shared" si="46"/>
        <v>0</v>
      </c>
      <c r="AX22" s="108">
        <f t="shared" si="1"/>
        <v>4</v>
      </c>
      <c r="AY22" s="108">
        <f t="shared" si="2"/>
        <v>4</v>
      </c>
      <c r="AZ22" s="108">
        <f t="shared" si="3"/>
        <v>4</v>
      </c>
      <c r="BA22" s="108">
        <f t="shared" si="4"/>
        <v>5</v>
      </c>
      <c r="BB22" s="108">
        <f t="shared" si="5"/>
        <v>4</v>
      </c>
      <c r="BC22" s="108">
        <f t="shared" si="6"/>
        <v>4</v>
      </c>
      <c r="BD22" s="108">
        <f t="shared" si="7"/>
        <v>0</v>
      </c>
      <c r="BE22" s="108">
        <f t="shared" si="8"/>
        <v>0</v>
      </c>
      <c r="BF22" s="108">
        <f t="shared" si="9"/>
        <v>3</v>
      </c>
      <c r="BG22" s="108">
        <f t="shared" si="10"/>
        <v>5</v>
      </c>
      <c r="BH22" s="108">
        <f t="shared" si="23"/>
        <v>76</v>
      </c>
      <c r="BJ22" s="108">
        <f t="shared" si="11"/>
        <v>5</v>
      </c>
      <c r="BK22" s="108">
        <f t="shared" si="12"/>
        <v>5</v>
      </c>
      <c r="BL22" s="108">
        <f t="shared" si="13"/>
        <v>5</v>
      </c>
      <c r="BM22" s="108">
        <f t="shared" si="14"/>
        <v>5</v>
      </c>
      <c r="BN22" s="108">
        <f t="shared" si="15"/>
        <v>5</v>
      </c>
      <c r="BO22" s="108">
        <f t="shared" si="16"/>
        <v>5</v>
      </c>
      <c r="BP22" s="108">
        <f t="shared" si="17"/>
        <v>0</v>
      </c>
      <c r="BQ22" s="108">
        <f t="shared" si="18"/>
        <v>0</v>
      </c>
      <c r="BR22" s="108">
        <f t="shared" si="19"/>
        <v>5</v>
      </c>
      <c r="BS22" s="108">
        <f t="shared" si="20"/>
        <v>5</v>
      </c>
      <c r="BT22" s="108">
        <f t="shared" si="24"/>
        <v>90</v>
      </c>
    </row>
    <row r="23" spans="1:72" ht="22.5" customHeight="1" x14ac:dyDescent="0.3">
      <c r="A23" s="185"/>
      <c r="B23" s="116" t="s">
        <v>1587</v>
      </c>
      <c r="C23" s="126" t="s">
        <v>1563</v>
      </c>
      <c r="D23" s="126" t="s">
        <v>1560</v>
      </c>
      <c r="E23" s="116" t="s">
        <v>418</v>
      </c>
      <c r="F23" s="111">
        <f>7+38.51217/60</f>
        <v>7.6418695000000003</v>
      </c>
      <c r="G23" s="111">
        <f>134+37.95135/60</f>
        <v>134.63252249999999</v>
      </c>
      <c r="H23" s="295" t="s">
        <v>1604</v>
      </c>
      <c r="I23" s="112">
        <v>2002</v>
      </c>
      <c r="J23" s="112" t="s">
        <v>848</v>
      </c>
      <c r="K23" s="295" t="s">
        <v>311</v>
      </c>
      <c r="L23" s="114">
        <v>206</v>
      </c>
      <c r="M23" s="129" t="s">
        <v>308</v>
      </c>
      <c r="N23" s="129" t="s">
        <v>164</v>
      </c>
      <c r="O23" s="129" t="s">
        <v>329</v>
      </c>
      <c r="P23" s="118" t="s">
        <v>1600</v>
      </c>
      <c r="Q23" s="129" t="s">
        <v>1562</v>
      </c>
      <c r="R23" s="134">
        <v>4</v>
      </c>
      <c r="S23" s="134">
        <v>4</v>
      </c>
      <c r="T23" s="134">
        <v>3</v>
      </c>
      <c r="U23" s="134">
        <v>4</v>
      </c>
      <c r="V23" s="134">
        <v>4</v>
      </c>
      <c r="W23" s="134">
        <v>4</v>
      </c>
      <c r="X23" s="134">
        <v>4</v>
      </c>
      <c r="Y23" s="134">
        <v>4</v>
      </c>
      <c r="Z23" s="154">
        <v>4</v>
      </c>
      <c r="AA23" s="134">
        <v>5</v>
      </c>
      <c r="AB23" s="296">
        <f t="shared" si="21"/>
        <v>82</v>
      </c>
      <c r="AC23" s="297">
        <f t="shared" si="37"/>
        <v>515000</v>
      </c>
      <c r="AD23" s="301">
        <f t="shared" si="22"/>
        <v>2575</v>
      </c>
      <c r="AE23" s="289"/>
      <c r="AJ23" s="108">
        <f t="shared" si="38"/>
        <v>0</v>
      </c>
      <c r="AK23" s="108">
        <f t="shared" si="39"/>
        <v>0</v>
      </c>
      <c r="AL23" s="108">
        <f t="shared" si="40"/>
        <v>0</v>
      </c>
      <c r="AM23" s="108">
        <f t="shared" si="41"/>
        <v>0</v>
      </c>
      <c r="AN23" s="108">
        <f t="shared" si="42"/>
        <v>0</v>
      </c>
      <c r="AO23" s="108">
        <f t="shared" si="43"/>
        <v>0</v>
      </c>
      <c r="AP23" s="108">
        <f t="shared" si="44"/>
        <v>0</v>
      </c>
      <c r="AQ23" s="108">
        <f t="shared" si="45"/>
        <v>0</v>
      </c>
      <c r="AR23" s="108">
        <f t="shared" si="46"/>
        <v>0</v>
      </c>
      <c r="AX23" s="108">
        <f t="shared" si="1"/>
        <v>4</v>
      </c>
      <c r="AY23" s="108">
        <f t="shared" si="2"/>
        <v>4</v>
      </c>
      <c r="AZ23" s="108">
        <f t="shared" si="3"/>
        <v>3</v>
      </c>
      <c r="BA23" s="108">
        <f t="shared" si="4"/>
        <v>4</v>
      </c>
      <c r="BB23" s="108">
        <f t="shared" si="5"/>
        <v>4</v>
      </c>
      <c r="BC23" s="108">
        <f t="shared" si="6"/>
        <v>4</v>
      </c>
      <c r="BD23" s="108">
        <f t="shared" si="7"/>
        <v>4</v>
      </c>
      <c r="BE23" s="108">
        <f t="shared" si="8"/>
        <v>4</v>
      </c>
      <c r="BF23" s="108">
        <f t="shared" si="9"/>
        <v>4</v>
      </c>
      <c r="BG23" s="108">
        <f t="shared" si="10"/>
        <v>5</v>
      </c>
      <c r="BH23" s="108">
        <f t="shared" si="23"/>
        <v>82</v>
      </c>
      <c r="BJ23" s="108">
        <f t="shared" si="11"/>
        <v>5</v>
      </c>
      <c r="BK23" s="108">
        <f t="shared" si="12"/>
        <v>5</v>
      </c>
      <c r="BL23" s="108">
        <f t="shared" si="13"/>
        <v>5</v>
      </c>
      <c r="BM23" s="108">
        <f t="shared" si="14"/>
        <v>5</v>
      </c>
      <c r="BN23" s="108">
        <f t="shared" si="15"/>
        <v>5</v>
      </c>
      <c r="BO23" s="108">
        <f t="shared" si="16"/>
        <v>5</v>
      </c>
      <c r="BP23" s="108">
        <f t="shared" si="17"/>
        <v>5</v>
      </c>
      <c r="BQ23" s="108">
        <f t="shared" si="18"/>
        <v>5</v>
      </c>
      <c r="BR23" s="108">
        <f t="shared" si="19"/>
        <v>5</v>
      </c>
      <c r="BS23" s="108">
        <f t="shared" si="20"/>
        <v>5</v>
      </c>
      <c r="BT23" s="108">
        <f t="shared" si="24"/>
        <v>100</v>
      </c>
    </row>
    <row r="24" spans="1:72" ht="22.5" customHeight="1" x14ac:dyDescent="0.3">
      <c r="A24" s="185"/>
      <c r="B24" s="116" t="s">
        <v>1583</v>
      </c>
      <c r="C24" s="126" t="s">
        <v>1603</v>
      </c>
      <c r="D24" s="126" t="s">
        <v>1560</v>
      </c>
      <c r="E24" s="116" t="s">
        <v>418</v>
      </c>
      <c r="F24" s="111">
        <f>7+38.49481/60</f>
        <v>7.6415801666666665</v>
      </c>
      <c r="G24" s="111">
        <f>134+37.95502/60</f>
        <v>134.63258366666668</v>
      </c>
      <c r="H24" s="295" t="s">
        <v>1604</v>
      </c>
      <c r="I24" s="112">
        <v>2001</v>
      </c>
      <c r="J24" s="112" t="s">
        <v>848</v>
      </c>
      <c r="K24" s="295" t="s">
        <v>311</v>
      </c>
      <c r="L24" s="114">
        <v>312</v>
      </c>
      <c r="M24" s="129" t="s">
        <v>308</v>
      </c>
      <c r="N24" s="118" t="s">
        <v>159</v>
      </c>
      <c r="O24" s="129" t="s">
        <v>329</v>
      </c>
      <c r="P24" s="129" t="s">
        <v>298</v>
      </c>
      <c r="Q24" s="129" t="s">
        <v>1564</v>
      </c>
      <c r="R24" s="134">
        <v>4</v>
      </c>
      <c r="S24" s="134">
        <v>4</v>
      </c>
      <c r="T24" s="134">
        <v>3</v>
      </c>
      <c r="U24" s="134">
        <v>4</v>
      </c>
      <c r="V24" s="134">
        <v>4</v>
      </c>
      <c r="W24" s="134">
        <v>3</v>
      </c>
      <c r="X24" s="134">
        <v>4</v>
      </c>
      <c r="Y24" s="134" t="s">
        <v>1107</v>
      </c>
      <c r="Z24" s="154">
        <v>4</v>
      </c>
      <c r="AA24" s="134">
        <v>5</v>
      </c>
      <c r="AB24" s="296">
        <f t="shared" si="21"/>
        <v>81.05263157894737</v>
      </c>
      <c r="AC24" s="297">
        <f t="shared" si="37"/>
        <v>780000</v>
      </c>
      <c r="AD24" s="301">
        <f t="shared" si="22"/>
        <v>3900</v>
      </c>
      <c r="AE24" s="289"/>
      <c r="AJ24" s="108">
        <f t="shared" si="38"/>
        <v>0</v>
      </c>
      <c r="AK24" s="108">
        <f t="shared" si="39"/>
        <v>0</v>
      </c>
      <c r="AL24" s="108">
        <f t="shared" si="40"/>
        <v>0</v>
      </c>
      <c r="AM24" s="108">
        <f t="shared" si="41"/>
        <v>0</v>
      </c>
      <c r="AN24" s="108">
        <f t="shared" si="42"/>
        <v>0</v>
      </c>
      <c r="AO24" s="108">
        <f t="shared" si="43"/>
        <v>0</v>
      </c>
      <c r="AP24" s="108">
        <f t="shared" si="44"/>
        <v>0</v>
      </c>
      <c r="AQ24" s="108">
        <f t="shared" si="45"/>
        <v>0</v>
      </c>
      <c r="AR24" s="108">
        <f t="shared" si="46"/>
        <v>0</v>
      </c>
      <c r="AX24" s="108">
        <f t="shared" si="1"/>
        <v>4</v>
      </c>
      <c r="AY24" s="108">
        <f t="shared" si="2"/>
        <v>4</v>
      </c>
      <c r="AZ24" s="108">
        <f t="shared" si="3"/>
        <v>3</v>
      </c>
      <c r="BA24" s="108">
        <f t="shared" si="4"/>
        <v>4</v>
      </c>
      <c r="BB24" s="108">
        <f t="shared" si="5"/>
        <v>4</v>
      </c>
      <c r="BC24" s="108">
        <f t="shared" si="6"/>
        <v>3</v>
      </c>
      <c r="BD24" s="108">
        <f t="shared" si="7"/>
        <v>4</v>
      </c>
      <c r="BE24" s="108">
        <f t="shared" si="8"/>
        <v>0</v>
      </c>
      <c r="BF24" s="108">
        <f t="shared" si="9"/>
        <v>4</v>
      </c>
      <c r="BG24" s="108">
        <f t="shared" si="10"/>
        <v>5</v>
      </c>
      <c r="BH24" s="108">
        <f t="shared" si="23"/>
        <v>77</v>
      </c>
      <c r="BJ24" s="108">
        <f t="shared" si="11"/>
        <v>5</v>
      </c>
      <c r="BK24" s="108">
        <f t="shared" si="12"/>
        <v>5</v>
      </c>
      <c r="BL24" s="108">
        <f t="shared" si="13"/>
        <v>5</v>
      </c>
      <c r="BM24" s="108">
        <f t="shared" si="14"/>
        <v>5</v>
      </c>
      <c r="BN24" s="108">
        <f t="shared" si="15"/>
        <v>5</v>
      </c>
      <c r="BO24" s="108">
        <f t="shared" si="16"/>
        <v>5</v>
      </c>
      <c r="BP24" s="108">
        <f t="shared" si="17"/>
        <v>5</v>
      </c>
      <c r="BQ24" s="108">
        <f t="shared" si="18"/>
        <v>0</v>
      </c>
      <c r="BR24" s="108">
        <f t="shared" si="19"/>
        <v>5</v>
      </c>
      <c r="BS24" s="108">
        <f t="shared" si="20"/>
        <v>5</v>
      </c>
      <c r="BT24" s="108">
        <f t="shared" si="24"/>
        <v>95</v>
      </c>
    </row>
    <row r="25" spans="1:72" ht="22.5" customHeight="1" x14ac:dyDescent="0.3">
      <c r="A25" s="185"/>
      <c r="B25" s="116" t="s">
        <v>1584</v>
      </c>
      <c r="C25" s="126" t="s">
        <v>1565</v>
      </c>
      <c r="D25" s="126" t="s">
        <v>1560</v>
      </c>
      <c r="E25" s="116" t="s">
        <v>974</v>
      </c>
      <c r="F25" s="111">
        <f>7+38.24083/60</f>
        <v>7.6373471666666664</v>
      </c>
      <c r="G25" s="111">
        <f>134+38.30566/60</f>
        <v>134.63842766666667</v>
      </c>
      <c r="H25" s="295" t="s">
        <v>1601</v>
      </c>
      <c r="I25" s="112" t="s">
        <v>502</v>
      </c>
      <c r="J25" s="112" t="s">
        <v>848</v>
      </c>
      <c r="K25" s="295" t="s">
        <v>311</v>
      </c>
      <c r="L25" s="114">
        <v>267</v>
      </c>
      <c r="M25" s="129" t="s">
        <v>308</v>
      </c>
      <c r="N25" s="118" t="s">
        <v>1605</v>
      </c>
      <c r="O25" s="129" t="s">
        <v>329</v>
      </c>
      <c r="P25" s="118" t="s">
        <v>1600</v>
      </c>
      <c r="Q25" s="129" t="s">
        <v>1562</v>
      </c>
      <c r="R25" s="134">
        <v>4</v>
      </c>
      <c r="S25" s="134">
        <v>4</v>
      </c>
      <c r="T25" s="134">
        <v>2</v>
      </c>
      <c r="U25" s="134">
        <v>4</v>
      </c>
      <c r="V25" s="134">
        <v>4</v>
      </c>
      <c r="W25" s="134">
        <v>3</v>
      </c>
      <c r="X25" s="134">
        <v>3</v>
      </c>
      <c r="Y25" s="134" t="s">
        <v>1107</v>
      </c>
      <c r="Z25" s="154">
        <v>4</v>
      </c>
      <c r="AA25" s="134">
        <v>3</v>
      </c>
      <c r="AB25" s="296">
        <f t="shared" si="21"/>
        <v>69.473684210526315</v>
      </c>
      <c r="AC25" s="297">
        <f t="shared" si="37"/>
        <v>667500</v>
      </c>
      <c r="AD25" s="301">
        <f t="shared" si="22"/>
        <v>3337.5</v>
      </c>
      <c r="AE25" s="289"/>
      <c r="AJ25" s="108">
        <f t="shared" si="38"/>
        <v>0</v>
      </c>
      <c r="AK25" s="108">
        <f t="shared" si="39"/>
        <v>0</v>
      </c>
      <c r="AL25" s="108">
        <f t="shared" si="40"/>
        <v>267</v>
      </c>
      <c r="AM25" s="108">
        <f t="shared" si="41"/>
        <v>0</v>
      </c>
      <c r="AN25" s="108">
        <f t="shared" si="42"/>
        <v>0</v>
      </c>
      <c r="AO25" s="108">
        <f t="shared" si="43"/>
        <v>0</v>
      </c>
      <c r="AP25" s="108">
        <f t="shared" si="44"/>
        <v>0</v>
      </c>
      <c r="AQ25" s="108">
        <f t="shared" si="45"/>
        <v>0</v>
      </c>
      <c r="AR25" s="108">
        <f t="shared" si="46"/>
        <v>0</v>
      </c>
      <c r="AX25" s="108">
        <f t="shared" si="1"/>
        <v>4</v>
      </c>
      <c r="AY25" s="108">
        <f t="shared" si="2"/>
        <v>4</v>
      </c>
      <c r="AZ25" s="108">
        <f t="shared" si="3"/>
        <v>2</v>
      </c>
      <c r="BA25" s="108">
        <f t="shared" si="4"/>
        <v>4</v>
      </c>
      <c r="BB25" s="108">
        <f t="shared" si="5"/>
        <v>4</v>
      </c>
      <c r="BC25" s="108">
        <f t="shared" si="6"/>
        <v>3</v>
      </c>
      <c r="BD25" s="108">
        <f t="shared" si="7"/>
        <v>3</v>
      </c>
      <c r="BE25" s="108">
        <f t="shared" si="8"/>
        <v>0</v>
      </c>
      <c r="BF25" s="108">
        <f t="shared" si="9"/>
        <v>4</v>
      </c>
      <c r="BG25" s="108">
        <f t="shared" si="10"/>
        <v>3</v>
      </c>
      <c r="BH25" s="108">
        <f t="shared" si="23"/>
        <v>66</v>
      </c>
      <c r="BJ25" s="108">
        <f t="shared" si="11"/>
        <v>5</v>
      </c>
      <c r="BK25" s="108">
        <f t="shared" si="12"/>
        <v>5</v>
      </c>
      <c r="BL25" s="108">
        <f t="shared" si="13"/>
        <v>5</v>
      </c>
      <c r="BM25" s="108">
        <f t="shared" si="14"/>
        <v>5</v>
      </c>
      <c r="BN25" s="108">
        <f t="shared" si="15"/>
        <v>5</v>
      </c>
      <c r="BO25" s="108">
        <f t="shared" si="16"/>
        <v>5</v>
      </c>
      <c r="BP25" s="108">
        <f t="shared" si="17"/>
        <v>5</v>
      </c>
      <c r="BQ25" s="108">
        <f t="shared" si="18"/>
        <v>0</v>
      </c>
      <c r="BR25" s="108">
        <f t="shared" si="19"/>
        <v>5</v>
      </c>
      <c r="BS25" s="108">
        <f t="shared" si="20"/>
        <v>5</v>
      </c>
      <c r="BT25" s="108">
        <f t="shared" si="24"/>
        <v>95</v>
      </c>
    </row>
    <row r="26" spans="1:72" ht="22.5" customHeight="1" x14ac:dyDescent="0.3">
      <c r="A26" s="185"/>
      <c r="B26" s="116" t="s">
        <v>1585</v>
      </c>
      <c r="C26" s="126" t="s">
        <v>1566</v>
      </c>
      <c r="D26" s="126" t="s">
        <v>1560</v>
      </c>
      <c r="E26" s="116" t="s">
        <v>974</v>
      </c>
      <c r="F26" s="111">
        <f>7+38.25391/60</f>
        <v>7.6375651666666666</v>
      </c>
      <c r="G26" s="111">
        <f>134+38/60+18/3600</f>
        <v>134.63833333333332</v>
      </c>
      <c r="H26" s="295" t="s">
        <v>1601</v>
      </c>
      <c r="I26" s="112" t="s">
        <v>502</v>
      </c>
      <c r="J26" s="112" t="s">
        <v>848</v>
      </c>
      <c r="K26" s="295" t="s">
        <v>311</v>
      </c>
      <c r="L26" s="114">
        <v>55</v>
      </c>
      <c r="M26" s="129" t="s">
        <v>308</v>
      </c>
      <c r="N26" s="129" t="s">
        <v>164</v>
      </c>
      <c r="O26" s="129" t="s">
        <v>329</v>
      </c>
      <c r="P26" s="118" t="s">
        <v>1600</v>
      </c>
      <c r="Q26" s="129" t="s">
        <v>1562</v>
      </c>
      <c r="R26" s="134">
        <v>4</v>
      </c>
      <c r="S26" s="134">
        <v>4</v>
      </c>
      <c r="T26" s="134">
        <v>3</v>
      </c>
      <c r="U26" s="134">
        <v>3</v>
      </c>
      <c r="V26" s="134">
        <v>3</v>
      </c>
      <c r="W26" s="134">
        <v>3</v>
      </c>
      <c r="X26" s="134">
        <v>3</v>
      </c>
      <c r="Y26" s="134" t="s">
        <v>1107</v>
      </c>
      <c r="Z26" s="154">
        <v>3</v>
      </c>
      <c r="AA26" s="134">
        <v>3</v>
      </c>
      <c r="AB26" s="296">
        <f t="shared" si="21"/>
        <v>68.421052631578945</v>
      </c>
      <c r="AC26" s="297">
        <f t="shared" si="37"/>
        <v>137500</v>
      </c>
      <c r="AD26" s="301">
        <f t="shared" si="22"/>
        <v>687.5</v>
      </c>
      <c r="AE26" s="289"/>
      <c r="AJ26" s="108">
        <f t="shared" si="38"/>
        <v>0</v>
      </c>
      <c r="AK26" s="108">
        <f t="shared" si="39"/>
        <v>0</v>
      </c>
      <c r="AL26" s="108">
        <f t="shared" si="40"/>
        <v>0</v>
      </c>
      <c r="AM26" s="108">
        <f t="shared" si="41"/>
        <v>0</v>
      </c>
      <c r="AN26" s="108">
        <f t="shared" si="42"/>
        <v>0</v>
      </c>
      <c r="AO26" s="108">
        <f t="shared" si="43"/>
        <v>0</v>
      </c>
      <c r="AP26" s="108">
        <f t="shared" si="44"/>
        <v>0</v>
      </c>
      <c r="AQ26" s="108">
        <f t="shared" si="45"/>
        <v>0</v>
      </c>
      <c r="AR26" s="108">
        <f t="shared" si="46"/>
        <v>0</v>
      </c>
      <c r="AX26" s="108">
        <f t="shared" si="1"/>
        <v>4</v>
      </c>
      <c r="AY26" s="108">
        <f t="shared" si="2"/>
        <v>4</v>
      </c>
      <c r="AZ26" s="108">
        <f t="shared" si="3"/>
        <v>3</v>
      </c>
      <c r="BA26" s="108">
        <f t="shared" si="4"/>
        <v>3</v>
      </c>
      <c r="BB26" s="108">
        <f t="shared" si="5"/>
        <v>3</v>
      </c>
      <c r="BC26" s="108">
        <f t="shared" si="6"/>
        <v>3</v>
      </c>
      <c r="BD26" s="108">
        <f t="shared" si="7"/>
        <v>3</v>
      </c>
      <c r="BE26" s="108">
        <f t="shared" si="8"/>
        <v>0</v>
      </c>
      <c r="BF26" s="108">
        <f t="shared" si="9"/>
        <v>3</v>
      </c>
      <c r="BG26" s="108">
        <f t="shared" si="10"/>
        <v>3</v>
      </c>
      <c r="BH26" s="108">
        <f t="shared" si="23"/>
        <v>65</v>
      </c>
      <c r="BJ26" s="108">
        <f t="shared" si="11"/>
        <v>5</v>
      </c>
      <c r="BK26" s="108">
        <f t="shared" si="12"/>
        <v>5</v>
      </c>
      <c r="BL26" s="108">
        <f t="shared" si="13"/>
        <v>5</v>
      </c>
      <c r="BM26" s="108">
        <f t="shared" si="14"/>
        <v>5</v>
      </c>
      <c r="BN26" s="108">
        <f t="shared" si="15"/>
        <v>5</v>
      </c>
      <c r="BO26" s="108">
        <f t="shared" si="16"/>
        <v>5</v>
      </c>
      <c r="BP26" s="108">
        <f t="shared" si="17"/>
        <v>5</v>
      </c>
      <c r="BQ26" s="108">
        <f t="shared" si="18"/>
        <v>0</v>
      </c>
      <c r="BR26" s="108">
        <f t="shared" si="19"/>
        <v>5</v>
      </c>
      <c r="BS26" s="108">
        <f t="shared" si="20"/>
        <v>5</v>
      </c>
      <c r="BT26" s="108">
        <f t="shared" si="24"/>
        <v>95</v>
      </c>
    </row>
    <row r="27" spans="1:72" ht="22.5" customHeight="1" x14ac:dyDescent="0.3">
      <c r="A27" s="185"/>
      <c r="B27" s="116" t="s">
        <v>1586</v>
      </c>
      <c r="C27" s="126" t="s">
        <v>1567</v>
      </c>
      <c r="D27" s="126" t="s">
        <v>1560</v>
      </c>
      <c r="E27" s="116" t="s">
        <v>1568</v>
      </c>
      <c r="F27" s="111">
        <f>7+40/60+2/3600</f>
        <v>7.6672222222222226</v>
      </c>
      <c r="G27" s="111">
        <f>134+38/60+12/3600</f>
        <v>134.63666666666666</v>
      </c>
      <c r="H27" s="295" t="s">
        <v>1601</v>
      </c>
      <c r="I27" s="112">
        <v>2008</v>
      </c>
      <c r="J27" s="112" t="s">
        <v>848</v>
      </c>
      <c r="K27" s="295" t="s">
        <v>311</v>
      </c>
      <c r="L27" s="114">
        <v>540</v>
      </c>
      <c r="M27" s="129" t="s">
        <v>308</v>
      </c>
      <c r="N27" s="129" t="s">
        <v>164</v>
      </c>
      <c r="O27" s="129" t="s">
        <v>329</v>
      </c>
      <c r="P27" s="118" t="s">
        <v>1600</v>
      </c>
      <c r="Q27" s="129" t="s">
        <v>1562</v>
      </c>
      <c r="R27" s="134">
        <v>5</v>
      </c>
      <c r="S27" s="134">
        <v>5</v>
      </c>
      <c r="T27" s="134">
        <v>5</v>
      </c>
      <c r="U27" s="134">
        <v>5</v>
      </c>
      <c r="V27" s="134">
        <v>5</v>
      </c>
      <c r="W27" s="134">
        <v>5</v>
      </c>
      <c r="X27" s="134">
        <v>5</v>
      </c>
      <c r="Y27" s="134" t="s">
        <v>1107</v>
      </c>
      <c r="Z27" s="154">
        <v>5</v>
      </c>
      <c r="AA27" s="134">
        <v>5</v>
      </c>
      <c r="AB27" s="296">
        <f t="shared" si="21"/>
        <v>100</v>
      </c>
      <c r="AC27" s="297">
        <f t="shared" si="37"/>
        <v>1350000</v>
      </c>
      <c r="AD27" s="301">
        <f t="shared" si="22"/>
        <v>6750</v>
      </c>
      <c r="AE27" s="289"/>
      <c r="AJ27" s="108">
        <f t="shared" si="38"/>
        <v>0</v>
      </c>
      <c r="AK27" s="108">
        <f t="shared" si="39"/>
        <v>0</v>
      </c>
      <c r="AL27" s="108">
        <f t="shared" si="40"/>
        <v>0</v>
      </c>
      <c r="AM27" s="108">
        <f t="shared" si="41"/>
        <v>0</v>
      </c>
      <c r="AN27" s="108">
        <f t="shared" si="42"/>
        <v>0</v>
      </c>
      <c r="AO27" s="108">
        <f t="shared" si="43"/>
        <v>0</v>
      </c>
      <c r="AP27" s="108">
        <f t="shared" si="44"/>
        <v>0</v>
      </c>
      <c r="AQ27" s="108">
        <f t="shared" si="45"/>
        <v>0</v>
      </c>
      <c r="AR27" s="108">
        <f t="shared" si="46"/>
        <v>0</v>
      </c>
      <c r="AX27" s="108">
        <f t="shared" si="1"/>
        <v>5</v>
      </c>
      <c r="AY27" s="108">
        <f t="shared" si="2"/>
        <v>5</v>
      </c>
      <c r="AZ27" s="108">
        <f t="shared" si="3"/>
        <v>5</v>
      </c>
      <c r="BA27" s="108">
        <f t="shared" si="4"/>
        <v>5</v>
      </c>
      <c r="BB27" s="108">
        <f t="shared" si="5"/>
        <v>5</v>
      </c>
      <c r="BC27" s="108">
        <f t="shared" si="6"/>
        <v>5</v>
      </c>
      <c r="BD27" s="108">
        <f t="shared" si="7"/>
        <v>5</v>
      </c>
      <c r="BE27" s="108">
        <f t="shared" si="8"/>
        <v>0</v>
      </c>
      <c r="BF27" s="108">
        <f t="shared" si="9"/>
        <v>5</v>
      </c>
      <c r="BG27" s="108">
        <f t="shared" si="10"/>
        <v>5</v>
      </c>
      <c r="BH27" s="108">
        <f t="shared" si="23"/>
        <v>95</v>
      </c>
      <c r="BJ27" s="108">
        <f t="shared" si="11"/>
        <v>5</v>
      </c>
      <c r="BK27" s="108">
        <f t="shared" si="12"/>
        <v>5</v>
      </c>
      <c r="BL27" s="108">
        <f t="shared" si="13"/>
        <v>5</v>
      </c>
      <c r="BM27" s="108">
        <f t="shared" si="14"/>
        <v>5</v>
      </c>
      <c r="BN27" s="108">
        <f t="shared" si="15"/>
        <v>5</v>
      </c>
      <c r="BO27" s="108">
        <f t="shared" si="16"/>
        <v>5</v>
      </c>
      <c r="BP27" s="108">
        <f t="shared" si="17"/>
        <v>5</v>
      </c>
      <c r="BQ27" s="108">
        <f t="shared" si="18"/>
        <v>0</v>
      </c>
      <c r="BR27" s="108">
        <f t="shared" si="19"/>
        <v>5</v>
      </c>
      <c r="BS27" s="108">
        <f t="shared" si="20"/>
        <v>5</v>
      </c>
      <c r="BT27" s="108">
        <f t="shared" si="24"/>
        <v>95</v>
      </c>
    </row>
    <row r="28" spans="1:72" ht="22.5" customHeight="1" x14ac:dyDescent="0.3">
      <c r="A28" s="185"/>
      <c r="B28" s="116" t="s">
        <v>1783</v>
      </c>
      <c r="C28" s="126" t="s">
        <v>1569</v>
      </c>
      <c r="D28" s="126" t="s">
        <v>1560</v>
      </c>
      <c r="E28" s="116" t="s">
        <v>481</v>
      </c>
      <c r="F28" s="111">
        <f>7+35/60+36/3600</f>
        <v>7.5933333333333328</v>
      </c>
      <c r="G28" s="111">
        <f>134+38/60+23/3600</f>
        <v>134.63972222222222</v>
      </c>
      <c r="H28" s="295" t="s">
        <v>1602</v>
      </c>
      <c r="I28" s="112" t="s">
        <v>502</v>
      </c>
      <c r="J28" s="113">
        <v>2013</v>
      </c>
      <c r="K28" s="295" t="s">
        <v>1597</v>
      </c>
      <c r="L28" s="114">
        <v>125</v>
      </c>
      <c r="M28" s="129" t="s">
        <v>308</v>
      </c>
      <c r="N28" s="129" t="s">
        <v>314</v>
      </c>
      <c r="O28" s="129" t="s">
        <v>1598</v>
      </c>
      <c r="P28" s="129" t="s">
        <v>1598</v>
      </c>
      <c r="Q28" s="129" t="s">
        <v>1599</v>
      </c>
      <c r="R28" s="134">
        <v>3</v>
      </c>
      <c r="S28" s="134">
        <v>4</v>
      </c>
      <c r="T28" s="134">
        <v>4</v>
      </c>
      <c r="U28" s="134">
        <v>4</v>
      </c>
      <c r="V28" s="134">
        <v>4</v>
      </c>
      <c r="W28" s="134">
        <v>4</v>
      </c>
      <c r="X28" s="134" t="s">
        <v>1107</v>
      </c>
      <c r="Y28" s="134" t="s">
        <v>1107</v>
      </c>
      <c r="Z28" s="154">
        <v>5</v>
      </c>
      <c r="AA28" s="134">
        <v>5</v>
      </c>
      <c r="AB28" s="296">
        <f t="shared" si="21"/>
        <v>82.222222222222214</v>
      </c>
      <c r="AC28" s="297">
        <f t="shared" si="37"/>
        <v>312500</v>
      </c>
      <c r="AD28" s="301">
        <f t="shared" si="22"/>
        <v>1562.5</v>
      </c>
      <c r="AE28" s="289"/>
      <c r="AJ28" s="108">
        <f t="shared" si="38"/>
        <v>0</v>
      </c>
      <c r="AK28" s="108">
        <f t="shared" si="39"/>
        <v>0</v>
      </c>
      <c r="AL28" s="108">
        <f t="shared" si="40"/>
        <v>0</v>
      </c>
      <c r="AM28" s="108">
        <f t="shared" si="41"/>
        <v>0</v>
      </c>
      <c r="AN28" s="108">
        <f t="shared" si="42"/>
        <v>0</v>
      </c>
      <c r="AO28" s="108">
        <f t="shared" si="43"/>
        <v>0</v>
      </c>
      <c r="AP28" s="108">
        <f t="shared" si="44"/>
        <v>0</v>
      </c>
      <c r="AQ28" s="108">
        <f t="shared" si="45"/>
        <v>0</v>
      </c>
      <c r="AR28" s="108">
        <f t="shared" si="46"/>
        <v>0</v>
      </c>
      <c r="AX28" s="108">
        <f t="shared" si="1"/>
        <v>3</v>
      </c>
      <c r="AY28" s="108">
        <f t="shared" si="2"/>
        <v>4</v>
      </c>
      <c r="AZ28" s="108">
        <f t="shared" si="3"/>
        <v>4</v>
      </c>
      <c r="BA28" s="108">
        <f t="shared" si="4"/>
        <v>4</v>
      </c>
      <c r="BB28" s="108">
        <f t="shared" si="5"/>
        <v>4</v>
      </c>
      <c r="BC28" s="108">
        <f t="shared" si="6"/>
        <v>4</v>
      </c>
      <c r="BD28" s="108">
        <f t="shared" si="7"/>
        <v>0</v>
      </c>
      <c r="BE28" s="108">
        <f t="shared" si="8"/>
        <v>0</v>
      </c>
      <c r="BF28" s="108">
        <f t="shared" si="9"/>
        <v>5</v>
      </c>
      <c r="BG28" s="108">
        <f t="shared" si="10"/>
        <v>5</v>
      </c>
      <c r="BH28" s="108">
        <f t="shared" si="23"/>
        <v>74</v>
      </c>
      <c r="BJ28" s="108">
        <f t="shared" si="11"/>
        <v>5</v>
      </c>
      <c r="BK28" s="108">
        <f t="shared" si="12"/>
        <v>5</v>
      </c>
      <c r="BL28" s="108">
        <f t="shared" si="13"/>
        <v>5</v>
      </c>
      <c r="BM28" s="108">
        <f t="shared" si="14"/>
        <v>5</v>
      </c>
      <c r="BN28" s="108">
        <f t="shared" si="15"/>
        <v>5</v>
      </c>
      <c r="BO28" s="108">
        <f t="shared" si="16"/>
        <v>5</v>
      </c>
      <c r="BP28" s="108">
        <f t="shared" si="17"/>
        <v>0</v>
      </c>
      <c r="BQ28" s="108">
        <f t="shared" si="18"/>
        <v>0</v>
      </c>
      <c r="BR28" s="108">
        <f t="shared" si="19"/>
        <v>5</v>
      </c>
      <c r="BS28" s="108">
        <f t="shared" si="20"/>
        <v>5</v>
      </c>
      <c r="BT28" s="108">
        <f t="shared" si="24"/>
        <v>90</v>
      </c>
    </row>
    <row r="29" spans="1:72" ht="22.5" customHeight="1" x14ac:dyDescent="0.3">
      <c r="A29" s="185"/>
      <c r="B29" s="116" t="s">
        <v>1784</v>
      </c>
      <c r="C29" s="126" t="s">
        <v>1785</v>
      </c>
      <c r="D29" s="126" t="s">
        <v>1560</v>
      </c>
      <c r="E29" s="116" t="s">
        <v>1223</v>
      </c>
      <c r="F29" s="111">
        <f>7+37.75386/60</f>
        <v>7.6292309999999999</v>
      </c>
      <c r="G29" s="111">
        <f>134+38.74695/60</f>
        <v>134.6457825</v>
      </c>
      <c r="H29" s="295" t="s">
        <v>1601</v>
      </c>
      <c r="I29" s="112" t="s">
        <v>502</v>
      </c>
      <c r="J29" s="112" t="s">
        <v>848</v>
      </c>
      <c r="K29" s="295" t="s">
        <v>311</v>
      </c>
      <c r="L29" s="114">
        <v>125</v>
      </c>
      <c r="M29" s="129" t="s">
        <v>308</v>
      </c>
      <c r="N29" s="129" t="s">
        <v>164</v>
      </c>
      <c r="O29" s="129" t="s">
        <v>329</v>
      </c>
      <c r="P29" s="118" t="s">
        <v>1600</v>
      </c>
      <c r="Q29" s="129" t="s">
        <v>1562</v>
      </c>
      <c r="R29" s="134">
        <v>4</v>
      </c>
      <c r="S29" s="134">
        <v>3</v>
      </c>
      <c r="T29" s="134">
        <v>3</v>
      </c>
      <c r="U29" s="134">
        <v>3</v>
      </c>
      <c r="V29" s="134">
        <v>3</v>
      </c>
      <c r="W29" s="134">
        <v>3</v>
      </c>
      <c r="X29" s="134" t="s">
        <v>1107</v>
      </c>
      <c r="Y29" s="134" t="s">
        <v>1107</v>
      </c>
      <c r="Z29" s="154">
        <v>3</v>
      </c>
      <c r="AA29" s="134">
        <v>3</v>
      </c>
      <c r="AB29" s="296">
        <f t="shared" si="21"/>
        <v>63.333333333333329</v>
      </c>
      <c r="AC29" s="297">
        <f t="shared" si="37"/>
        <v>312500</v>
      </c>
      <c r="AD29" s="301">
        <f t="shared" si="22"/>
        <v>1562.5</v>
      </c>
      <c r="AE29" s="472" t="s">
        <v>1560</v>
      </c>
      <c r="AF29" s="472"/>
      <c r="AJ29" s="108">
        <f t="shared" si="38"/>
        <v>0</v>
      </c>
      <c r="AK29" s="108">
        <f t="shared" si="39"/>
        <v>0</v>
      </c>
      <c r="AL29" s="108">
        <f t="shared" si="40"/>
        <v>0</v>
      </c>
      <c r="AM29" s="108">
        <f t="shared" si="41"/>
        <v>0</v>
      </c>
      <c r="AN29" s="108">
        <f t="shared" si="42"/>
        <v>0</v>
      </c>
      <c r="AO29" s="108">
        <f t="shared" si="43"/>
        <v>0</v>
      </c>
      <c r="AP29" s="108">
        <f t="shared" si="44"/>
        <v>0</v>
      </c>
      <c r="AQ29" s="108">
        <f t="shared" si="45"/>
        <v>0</v>
      </c>
      <c r="AR29" s="108">
        <f t="shared" si="46"/>
        <v>0</v>
      </c>
      <c r="AX29" s="108">
        <f t="shared" si="1"/>
        <v>4</v>
      </c>
      <c r="AY29" s="108">
        <f t="shared" si="2"/>
        <v>3</v>
      </c>
      <c r="AZ29" s="108">
        <f t="shared" si="3"/>
        <v>3</v>
      </c>
      <c r="BA29" s="108">
        <f t="shared" si="4"/>
        <v>3</v>
      </c>
      <c r="BB29" s="108">
        <f t="shared" si="5"/>
        <v>3</v>
      </c>
      <c r="BC29" s="108">
        <f t="shared" si="6"/>
        <v>3</v>
      </c>
      <c r="BD29" s="108">
        <f t="shared" si="7"/>
        <v>0</v>
      </c>
      <c r="BE29" s="108">
        <f t="shared" si="8"/>
        <v>0</v>
      </c>
      <c r="BF29" s="108">
        <f t="shared" si="9"/>
        <v>3</v>
      </c>
      <c r="BG29" s="108">
        <f t="shared" si="10"/>
        <v>3</v>
      </c>
      <c r="BH29" s="108">
        <f t="shared" si="23"/>
        <v>57</v>
      </c>
      <c r="BJ29" s="108">
        <f t="shared" si="11"/>
        <v>5</v>
      </c>
      <c r="BK29" s="108">
        <f t="shared" si="12"/>
        <v>5</v>
      </c>
      <c r="BL29" s="108">
        <f t="shared" si="13"/>
        <v>5</v>
      </c>
      <c r="BM29" s="108">
        <f t="shared" si="14"/>
        <v>5</v>
      </c>
      <c r="BN29" s="108">
        <f t="shared" si="15"/>
        <v>5</v>
      </c>
      <c r="BO29" s="108">
        <f t="shared" si="16"/>
        <v>5</v>
      </c>
      <c r="BP29" s="108">
        <f t="shared" si="17"/>
        <v>0</v>
      </c>
      <c r="BQ29" s="108">
        <f t="shared" si="18"/>
        <v>0</v>
      </c>
      <c r="BR29" s="108">
        <f t="shared" si="19"/>
        <v>5</v>
      </c>
      <c r="BS29" s="108">
        <f t="shared" si="20"/>
        <v>5</v>
      </c>
      <c r="BT29" s="108">
        <f t="shared" si="24"/>
        <v>90</v>
      </c>
    </row>
    <row r="30" spans="1:72" ht="22.5" customHeight="1" x14ac:dyDescent="0.3">
      <c r="A30" s="185"/>
      <c r="B30" s="116"/>
      <c r="C30" s="126"/>
      <c r="D30" s="126"/>
      <c r="E30" s="116"/>
      <c r="F30" s="111"/>
      <c r="G30" s="111"/>
      <c r="H30" s="295"/>
      <c r="I30" s="112"/>
      <c r="J30" s="113"/>
      <c r="K30" s="128"/>
      <c r="L30" s="114"/>
      <c r="M30" s="129"/>
      <c r="N30" s="129"/>
      <c r="O30" s="129"/>
      <c r="P30" s="129"/>
      <c r="Q30" s="129"/>
      <c r="R30" s="134"/>
      <c r="S30" s="134"/>
      <c r="T30" s="134"/>
      <c r="U30" s="134"/>
      <c r="V30" s="134"/>
      <c r="W30" s="134"/>
      <c r="X30" s="134"/>
      <c r="Y30" s="134"/>
      <c r="Z30" s="154"/>
      <c r="AA30" s="134"/>
      <c r="AB30" s="296"/>
      <c r="AC30" s="297"/>
      <c r="AD30" s="301"/>
      <c r="AE30" s="308">
        <f>SUM(AC21:AC29)</f>
        <v>5880000</v>
      </c>
      <c r="AF30" s="308">
        <f>SUM(AD21:AD29)</f>
        <v>29400</v>
      </c>
      <c r="AG30" s="309"/>
      <c r="AH30" s="309"/>
      <c r="AI30" s="309"/>
      <c r="AJ30" s="304">
        <f>SUM(AJ21:AJ29)*AJ$2*$AS$1</f>
        <v>0</v>
      </c>
      <c r="AK30" s="304">
        <f t="shared" ref="AK30:AR30" si="47">SUM(AK21:AK29)*AK$2*$AS$1</f>
        <v>0</v>
      </c>
      <c r="AL30" s="304">
        <f t="shared" si="47"/>
        <v>66750</v>
      </c>
      <c r="AM30" s="304">
        <f t="shared" si="47"/>
        <v>0</v>
      </c>
      <c r="AN30" s="304">
        <f t="shared" si="47"/>
        <v>0</v>
      </c>
      <c r="AO30" s="304">
        <f t="shared" si="47"/>
        <v>0</v>
      </c>
      <c r="AP30" s="304">
        <f t="shared" si="47"/>
        <v>0</v>
      </c>
      <c r="AQ30" s="304">
        <f t="shared" si="47"/>
        <v>0</v>
      </c>
      <c r="AR30" s="304">
        <f t="shared" si="47"/>
        <v>0</v>
      </c>
      <c r="AS30" s="305">
        <f>SUM(AJ30:AR30)</f>
        <v>66750</v>
      </c>
      <c r="AX30" s="108">
        <f t="shared" si="1"/>
        <v>0</v>
      </c>
      <c r="AY30" s="108">
        <f t="shared" si="2"/>
        <v>0</v>
      </c>
      <c r="AZ30" s="108">
        <f t="shared" si="3"/>
        <v>0</v>
      </c>
      <c r="BA30" s="108">
        <f t="shared" si="4"/>
        <v>0</v>
      </c>
      <c r="BB30" s="108">
        <f t="shared" si="5"/>
        <v>0</v>
      </c>
      <c r="BC30" s="108">
        <f t="shared" si="6"/>
        <v>0</v>
      </c>
      <c r="BD30" s="108">
        <f t="shared" si="7"/>
        <v>0</v>
      </c>
      <c r="BE30" s="108">
        <f t="shared" si="8"/>
        <v>0</v>
      </c>
      <c r="BF30" s="108">
        <f t="shared" si="9"/>
        <v>0</v>
      </c>
      <c r="BG30" s="108">
        <f t="shared" si="10"/>
        <v>0</v>
      </c>
      <c r="BH30" s="108">
        <f t="shared" si="23"/>
        <v>0</v>
      </c>
      <c r="BJ30" s="108">
        <f t="shared" si="11"/>
        <v>0</v>
      </c>
      <c r="BK30" s="108">
        <f t="shared" si="12"/>
        <v>0</v>
      </c>
      <c r="BL30" s="108">
        <f t="shared" si="13"/>
        <v>0</v>
      </c>
      <c r="BM30" s="108">
        <f t="shared" si="14"/>
        <v>0</v>
      </c>
      <c r="BN30" s="108">
        <f t="shared" si="15"/>
        <v>0</v>
      </c>
      <c r="BO30" s="108">
        <f t="shared" si="16"/>
        <v>0</v>
      </c>
      <c r="BP30" s="108">
        <f t="shared" si="17"/>
        <v>0</v>
      </c>
      <c r="BQ30" s="108">
        <f t="shared" si="18"/>
        <v>0</v>
      </c>
      <c r="BR30" s="108">
        <f t="shared" si="19"/>
        <v>0</v>
      </c>
      <c r="BS30" s="108">
        <f t="shared" si="20"/>
        <v>0</v>
      </c>
      <c r="BT30" s="108">
        <f t="shared" si="24"/>
        <v>0</v>
      </c>
    </row>
    <row r="31" spans="1:72" ht="22.5" customHeight="1" x14ac:dyDescent="0.3">
      <c r="A31" s="185"/>
      <c r="B31" s="116" t="s">
        <v>1588</v>
      </c>
      <c r="C31" s="126" t="s">
        <v>1570</v>
      </c>
      <c r="D31" s="126" t="s">
        <v>1571</v>
      </c>
      <c r="E31" s="116" t="s">
        <v>1572</v>
      </c>
      <c r="F31" s="310">
        <f>7+36.64776/60</f>
        <v>7.6107959999999997</v>
      </c>
      <c r="G31" s="310">
        <f>134+34.6106/60</f>
        <v>134.57684333333333</v>
      </c>
      <c r="H31" s="295" t="s">
        <v>1601</v>
      </c>
      <c r="I31" s="112" t="s">
        <v>421</v>
      </c>
      <c r="J31" s="112" t="s">
        <v>311</v>
      </c>
      <c r="K31" s="295" t="s">
        <v>311</v>
      </c>
      <c r="L31" s="114">
        <v>270</v>
      </c>
      <c r="M31" s="129" t="s">
        <v>1573</v>
      </c>
      <c r="N31" s="129" t="s">
        <v>164</v>
      </c>
      <c r="O31" s="118" t="s">
        <v>329</v>
      </c>
      <c r="P31" s="196" t="s">
        <v>328</v>
      </c>
      <c r="Q31" s="196" t="s">
        <v>309</v>
      </c>
      <c r="R31" s="134">
        <v>4</v>
      </c>
      <c r="S31" s="134">
        <v>3</v>
      </c>
      <c r="T31" s="134">
        <v>3</v>
      </c>
      <c r="U31" s="134">
        <v>3</v>
      </c>
      <c r="V31" s="134">
        <v>3</v>
      </c>
      <c r="W31" s="134">
        <v>3</v>
      </c>
      <c r="X31" s="134">
        <v>3</v>
      </c>
      <c r="Y31" s="134"/>
      <c r="Z31" s="154">
        <v>3</v>
      </c>
      <c r="AA31" s="134">
        <v>5</v>
      </c>
      <c r="AB31" s="296">
        <f t="shared" si="21"/>
        <v>71.578947368421055</v>
      </c>
      <c r="AC31" s="297">
        <f>L31*AC$2</f>
        <v>675000</v>
      </c>
      <c r="AD31" s="301">
        <f t="shared" si="22"/>
        <v>3375</v>
      </c>
      <c r="AE31" s="289"/>
      <c r="AJ31" s="108">
        <f t="shared" ref="AJ31:AR34" si="48">IF(OR(R31=1,R31=2),$L31,0)</f>
        <v>0</v>
      </c>
      <c r="AK31" s="108">
        <f t="shared" si="48"/>
        <v>0</v>
      </c>
      <c r="AL31" s="108">
        <f t="shared" si="48"/>
        <v>0</v>
      </c>
      <c r="AM31" s="108">
        <f t="shared" si="48"/>
        <v>0</v>
      </c>
      <c r="AN31" s="108">
        <f t="shared" si="48"/>
        <v>0</v>
      </c>
      <c r="AO31" s="108">
        <f t="shared" si="48"/>
        <v>0</v>
      </c>
      <c r="AP31" s="108">
        <f t="shared" si="48"/>
        <v>0</v>
      </c>
      <c r="AQ31" s="108">
        <f t="shared" si="48"/>
        <v>0</v>
      </c>
      <c r="AR31" s="108">
        <f t="shared" si="48"/>
        <v>0</v>
      </c>
      <c r="AX31" s="108">
        <f t="shared" si="1"/>
        <v>4</v>
      </c>
      <c r="AY31" s="108">
        <f t="shared" si="2"/>
        <v>3</v>
      </c>
      <c r="AZ31" s="108">
        <f t="shared" si="3"/>
        <v>3</v>
      </c>
      <c r="BA31" s="108">
        <f t="shared" si="4"/>
        <v>3</v>
      </c>
      <c r="BB31" s="108">
        <f t="shared" si="5"/>
        <v>3</v>
      </c>
      <c r="BC31" s="108">
        <f t="shared" si="6"/>
        <v>3</v>
      </c>
      <c r="BD31" s="108">
        <f t="shared" si="7"/>
        <v>3</v>
      </c>
      <c r="BE31" s="108">
        <f t="shared" si="8"/>
        <v>0</v>
      </c>
      <c r="BF31" s="108">
        <f t="shared" si="9"/>
        <v>3</v>
      </c>
      <c r="BG31" s="108">
        <f t="shared" si="10"/>
        <v>5</v>
      </c>
      <c r="BH31" s="108">
        <f t="shared" si="23"/>
        <v>68</v>
      </c>
      <c r="BJ31" s="108">
        <f t="shared" si="11"/>
        <v>5</v>
      </c>
      <c r="BK31" s="108">
        <f t="shared" si="12"/>
        <v>5</v>
      </c>
      <c r="BL31" s="108">
        <f t="shared" si="13"/>
        <v>5</v>
      </c>
      <c r="BM31" s="108">
        <f t="shared" si="14"/>
        <v>5</v>
      </c>
      <c r="BN31" s="108">
        <f t="shared" si="15"/>
        <v>5</v>
      </c>
      <c r="BO31" s="108">
        <f t="shared" si="16"/>
        <v>5</v>
      </c>
      <c r="BP31" s="108">
        <f t="shared" si="17"/>
        <v>5</v>
      </c>
      <c r="BQ31" s="108">
        <f t="shared" si="18"/>
        <v>0</v>
      </c>
      <c r="BR31" s="108">
        <f t="shared" si="19"/>
        <v>5</v>
      </c>
      <c r="BS31" s="108">
        <f t="shared" si="20"/>
        <v>5</v>
      </c>
      <c r="BT31" s="108">
        <f t="shared" si="24"/>
        <v>95</v>
      </c>
    </row>
    <row r="32" spans="1:72" ht="22.5" customHeight="1" x14ac:dyDescent="0.3">
      <c r="A32" s="185"/>
      <c r="B32" s="116" t="s">
        <v>1589</v>
      </c>
      <c r="C32" s="126" t="s">
        <v>1574</v>
      </c>
      <c r="D32" s="126" t="s">
        <v>1571</v>
      </c>
      <c r="E32" s="116" t="s">
        <v>441</v>
      </c>
      <c r="F32" s="310"/>
      <c r="G32" s="310"/>
      <c r="H32" s="295" t="s">
        <v>1601</v>
      </c>
      <c r="I32" s="112" t="s">
        <v>1174</v>
      </c>
      <c r="J32" s="112" t="s">
        <v>311</v>
      </c>
      <c r="K32" s="295" t="s">
        <v>311</v>
      </c>
      <c r="L32" s="114">
        <v>90</v>
      </c>
      <c r="M32" s="129" t="s">
        <v>1573</v>
      </c>
      <c r="N32" s="129" t="s">
        <v>164</v>
      </c>
      <c r="O32" s="118" t="s">
        <v>329</v>
      </c>
      <c r="P32" s="129" t="s">
        <v>298</v>
      </c>
      <c r="Q32" s="196" t="s">
        <v>309</v>
      </c>
      <c r="R32" s="134">
        <v>5</v>
      </c>
      <c r="S32" s="134">
        <v>4</v>
      </c>
      <c r="T32" s="134">
        <v>5</v>
      </c>
      <c r="U32" s="134">
        <v>3</v>
      </c>
      <c r="V32" s="134">
        <v>4</v>
      </c>
      <c r="W32" s="134">
        <v>4</v>
      </c>
      <c r="X32" s="134"/>
      <c r="Y32" s="134" t="s">
        <v>1107</v>
      </c>
      <c r="Z32" s="154">
        <v>2</v>
      </c>
      <c r="AA32" s="134">
        <v>5</v>
      </c>
      <c r="AB32" s="296">
        <f t="shared" si="21"/>
        <v>86.666666666666671</v>
      </c>
      <c r="AC32" s="297">
        <f>L32*AC$2</f>
        <v>225000</v>
      </c>
      <c r="AD32" s="301">
        <f t="shared" si="22"/>
        <v>1125</v>
      </c>
      <c r="AE32" s="289"/>
      <c r="AJ32" s="108">
        <f t="shared" si="48"/>
        <v>0</v>
      </c>
      <c r="AK32" s="108">
        <f t="shared" si="48"/>
        <v>0</v>
      </c>
      <c r="AL32" s="108">
        <f t="shared" si="48"/>
        <v>0</v>
      </c>
      <c r="AM32" s="108">
        <f t="shared" si="48"/>
        <v>0</v>
      </c>
      <c r="AN32" s="108">
        <f t="shared" si="48"/>
        <v>0</v>
      </c>
      <c r="AO32" s="108">
        <f t="shared" si="48"/>
        <v>0</v>
      </c>
      <c r="AP32" s="108">
        <f t="shared" si="48"/>
        <v>0</v>
      </c>
      <c r="AQ32" s="108">
        <f t="shared" si="48"/>
        <v>0</v>
      </c>
      <c r="AR32" s="108">
        <f t="shared" si="48"/>
        <v>90</v>
      </c>
      <c r="AX32" s="108">
        <f t="shared" si="1"/>
        <v>5</v>
      </c>
      <c r="AY32" s="108">
        <f t="shared" si="2"/>
        <v>4</v>
      </c>
      <c r="AZ32" s="108">
        <f t="shared" si="3"/>
        <v>5</v>
      </c>
      <c r="BA32" s="108">
        <f t="shared" si="4"/>
        <v>3</v>
      </c>
      <c r="BB32" s="108">
        <f t="shared" si="5"/>
        <v>4</v>
      </c>
      <c r="BC32" s="108">
        <f t="shared" si="6"/>
        <v>4</v>
      </c>
      <c r="BD32" s="108">
        <f t="shared" si="7"/>
        <v>0</v>
      </c>
      <c r="BE32" s="108">
        <f t="shared" si="8"/>
        <v>0</v>
      </c>
      <c r="BF32" s="108">
        <f t="shared" si="9"/>
        <v>2</v>
      </c>
      <c r="BG32" s="108">
        <f t="shared" si="10"/>
        <v>5</v>
      </c>
      <c r="BH32" s="108">
        <f t="shared" si="23"/>
        <v>78</v>
      </c>
      <c r="BJ32" s="108">
        <f t="shared" si="11"/>
        <v>5</v>
      </c>
      <c r="BK32" s="108">
        <f t="shared" si="12"/>
        <v>5</v>
      </c>
      <c r="BL32" s="108">
        <f t="shared" si="13"/>
        <v>5</v>
      </c>
      <c r="BM32" s="108">
        <f t="shared" si="14"/>
        <v>5</v>
      </c>
      <c r="BN32" s="108">
        <f t="shared" si="15"/>
        <v>5</v>
      </c>
      <c r="BO32" s="108">
        <f t="shared" si="16"/>
        <v>5</v>
      </c>
      <c r="BP32" s="108">
        <f t="shared" si="17"/>
        <v>0</v>
      </c>
      <c r="BQ32" s="108">
        <f t="shared" si="18"/>
        <v>0</v>
      </c>
      <c r="BR32" s="108">
        <f t="shared" si="19"/>
        <v>5</v>
      </c>
      <c r="BS32" s="108">
        <f t="shared" si="20"/>
        <v>5</v>
      </c>
      <c r="BT32" s="108">
        <f t="shared" si="24"/>
        <v>90</v>
      </c>
    </row>
    <row r="33" spans="1:72" ht="22.5" customHeight="1" x14ac:dyDescent="0.3">
      <c r="A33" s="185"/>
      <c r="B33" s="116" t="s">
        <v>1590</v>
      </c>
      <c r="C33" s="126" t="s">
        <v>1786</v>
      </c>
      <c r="D33" s="126" t="s">
        <v>1571</v>
      </c>
      <c r="E33" s="116" t="s">
        <v>441</v>
      </c>
      <c r="F33" s="310">
        <f>7+36.45232/60</f>
        <v>7.6075386666666667</v>
      </c>
      <c r="G33" s="310">
        <f>134+34.422/60</f>
        <v>134.5737</v>
      </c>
      <c r="H33" s="295" t="s">
        <v>1601</v>
      </c>
      <c r="I33" s="112">
        <v>1994</v>
      </c>
      <c r="J33" s="112" t="s">
        <v>311</v>
      </c>
      <c r="K33" s="295" t="s">
        <v>311</v>
      </c>
      <c r="L33" s="114">
        <v>434</v>
      </c>
      <c r="M33" s="129" t="s">
        <v>1573</v>
      </c>
      <c r="N33" s="129" t="s">
        <v>164</v>
      </c>
      <c r="O33" s="118" t="s">
        <v>330</v>
      </c>
      <c r="P33" s="129" t="s">
        <v>298</v>
      </c>
      <c r="Q33" s="196" t="s">
        <v>309</v>
      </c>
      <c r="R33" s="134">
        <v>3</v>
      </c>
      <c r="S33" s="134">
        <v>4</v>
      </c>
      <c r="T33" s="134">
        <v>2</v>
      </c>
      <c r="U33" s="134">
        <v>2</v>
      </c>
      <c r="V33" s="134">
        <v>2</v>
      </c>
      <c r="W33" s="134">
        <v>2</v>
      </c>
      <c r="X33" s="134">
        <v>1</v>
      </c>
      <c r="Y33" s="134">
        <v>3</v>
      </c>
      <c r="Z33" s="154">
        <v>3</v>
      </c>
      <c r="AA33" s="134">
        <v>4</v>
      </c>
      <c r="AB33" s="296">
        <f t="shared" si="21"/>
        <v>62</v>
      </c>
      <c r="AC33" s="297">
        <f>L33*AC$2</f>
        <v>1085000</v>
      </c>
      <c r="AD33" s="301">
        <f t="shared" si="22"/>
        <v>5425</v>
      </c>
      <c r="AE33" s="289"/>
      <c r="AJ33" s="108">
        <f t="shared" si="48"/>
        <v>0</v>
      </c>
      <c r="AK33" s="108">
        <f t="shared" si="48"/>
        <v>0</v>
      </c>
      <c r="AL33" s="108">
        <f t="shared" si="48"/>
        <v>434</v>
      </c>
      <c r="AM33" s="108">
        <f t="shared" si="48"/>
        <v>434</v>
      </c>
      <c r="AN33" s="108">
        <f t="shared" si="48"/>
        <v>434</v>
      </c>
      <c r="AO33" s="108">
        <f t="shared" si="48"/>
        <v>434</v>
      </c>
      <c r="AP33" s="108">
        <f t="shared" si="48"/>
        <v>434</v>
      </c>
      <c r="AQ33" s="108">
        <f t="shared" si="48"/>
        <v>0</v>
      </c>
      <c r="AR33" s="108">
        <f t="shared" si="48"/>
        <v>0</v>
      </c>
      <c r="AX33" s="108">
        <f t="shared" si="1"/>
        <v>3</v>
      </c>
      <c r="AY33" s="108">
        <f t="shared" si="2"/>
        <v>4</v>
      </c>
      <c r="AZ33" s="108">
        <f t="shared" si="3"/>
        <v>2</v>
      </c>
      <c r="BA33" s="108">
        <f t="shared" si="4"/>
        <v>2</v>
      </c>
      <c r="BB33" s="108">
        <f t="shared" si="5"/>
        <v>2</v>
      </c>
      <c r="BC33" s="108">
        <f t="shared" si="6"/>
        <v>2</v>
      </c>
      <c r="BD33" s="108">
        <f t="shared" si="7"/>
        <v>1</v>
      </c>
      <c r="BE33" s="108">
        <f t="shared" si="8"/>
        <v>3</v>
      </c>
      <c r="BF33" s="108">
        <f t="shared" si="9"/>
        <v>3</v>
      </c>
      <c r="BG33" s="108">
        <f t="shared" si="10"/>
        <v>4</v>
      </c>
      <c r="BH33" s="108">
        <f t="shared" si="23"/>
        <v>62</v>
      </c>
      <c r="BJ33" s="108">
        <f t="shared" si="11"/>
        <v>5</v>
      </c>
      <c r="BK33" s="108">
        <f t="shared" si="12"/>
        <v>5</v>
      </c>
      <c r="BL33" s="108">
        <f t="shared" si="13"/>
        <v>5</v>
      </c>
      <c r="BM33" s="108">
        <f t="shared" si="14"/>
        <v>5</v>
      </c>
      <c r="BN33" s="108">
        <f t="shared" si="15"/>
        <v>5</v>
      </c>
      <c r="BO33" s="108">
        <f t="shared" si="16"/>
        <v>5</v>
      </c>
      <c r="BP33" s="108">
        <f t="shared" si="17"/>
        <v>5</v>
      </c>
      <c r="BQ33" s="108">
        <f t="shared" si="18"/>
        <v>5</v>
      </c>
      <c r="BR33" s="108">
        <f t="shared" si="19"/>
        <v>5</v>
      </c>
      <c r="BS33" s="108">
        <f t="shared" si="20"/>
        <v>5</v>
      </c>
      <c r="BT33" s="108">
        <f t="shared" si="24"/>
        <v>100</v>
      </c>
    </row>
    <row r="34" spans="1:72" ht="22.5" customHeight="1" x14ac:dyDescent="0.3">
      <c r="A34" s="185"/>
      <c r="B34" s="116" t="s">
        <v>1591</v>
      </c>
      <c r="C34" s="126" t="s">
        <v>1592</v>
      </c>
      <c r="D34" s="126" t="s">
        <v>1571</v>
      </c>
      <c r="E34" s="116" t="s">
        <v>791</v>
      </c>
      <c r="F34" s="310">
        <f>7+35/60+35/3600</f>
        <v>7.593055555555555</v>
      </c>
      <c r="G34" s="310">
        <f>134+34/60+56/3600</f>
        <v>134.58222222222221</v>
      </c>
      <c r="H34" s="295" t="s">
        <v>853</v>
      </c>
      <c r="I34" s="112">
        <v>2017</v>
      </c>
      <c r="J34" s="112" t="s">
        <v>311</v>
      </c>
      <c r="K34" s="295" t="s">
        <v>311</v>
      </c>
      <c r="L34" s="114">
        <v>452</v>
      </c>
      <c r="M34" s="129" t="s">
        <v>1573</v>
      </c>
      <c r="N34" s="129" t="s">
        <v>164</v>
      </c>
      <c r="O34" s="118" t="s">
        <v>329</v>
      </c>
      <c r="P34" s="196" t="s">
        <v>322</v>
      </c>
      <c r="Q34" s="196" t="s">
        <v>309</v>
      </c>
      <c r="R34" s="134">
        <v>5</v>
      </c>
      <c r="S34" s="134">
        <v>5</v>
      </c>
      <c r="T34" s="134">
        <v>5</v>
      </c>
      <c r="U34" s="134">
        <v>5</v>
      </c>
      <c r="V34" s="134">
        <v>5</v>
      </c>
      <c r="W34" s="134">
        <v>5</v>
      </c>
      <c r="X34" s="134">
        <v>5</v>
      </c>
      <c r="Y34" s="134">
        <v>5</v>
      </c>
      <c r="Z34" s="154">
        <v>5</v>
      </c>
      <c r="AA34" s="134">
        <v>5</v>
      </c>
      <c r="AB34" s="296">
        <f t="shared" si="21"/>
        <v>100</v>
      </c>
      <c r="AC34" s="297">
        <f>L34*AC$2</f>
        <v>1130000</v>
      </c>
      <c r="AD34" s="301">
        <f t="shared" si="22"/>
        <v>5650</v>
      </c>
      <c r="AE34" s="472" t="s">
        <v>1571</v>
      </c>
      <c r="AF34" s="472"/>
      <c r="AJ34" s="108">
        <f t="shared" si="48"/>
        <v>0</v>
      </c>
      <c r="AK34" s="108">
        <f t="shared" si="48"/>
        <v>0</v>
      </c>
      <c r="AL34" s="108">
        <f t="shared" si="48"/>
        <v>0</v>
      </c>
      <c r="AM34" s="108">
        <f t="shared" si="48"/>
        <v>0</v>
      </c>
      <c r="AN34" s="108">
        <f t="shared" si="48"/>
        <v>0</v>
      </c>
      <c r="AO34" s="108">
        <f t="shared" si="48"/>
        <v>0</v>
      </c>
      <c r="AP34" s="108">
        <f t="shared" si="48"/>
        <v>0</v>
      </c>
      <c r="AQ34" s="108">
        <f t="shared" si="48"/>
        <v>0</v>
      </c>
      <c r="AR34" s="108">
        <f t="shared" si="48"/>
        <v>0</v>
      </c>
      <c r="AX34" s="108">
        <f t="shared" si="1"/>
        <v>5</v>
      </c>
      <c r="AY34" s="108">
        <f t="shared" si="2"/>
        <v>5</v>
      </c>
      <c r="AZ34" s="108">
        <f t="shared" si="3"/>
        <v>5</v>
      </c>
      <c r="BA34" s="108">
        <f t="shared" si="4"/>
        <v>5</v>
      </c>
      <c r="BB34" s="108">
        <f t="shared" si="5"/>
        <v>5</v>
      </c>
      <c r="BC34" s="108">
        <f t="shared" si="6"/>
        <v>5</v>
      </c>
      <c r="BD34" s="108">
        <f t="shared" si="7"/>
        <v>5</v>
      </c>
      <c r="BE34" s="108">
        <f t="shared" si="8"/>
        <v>5</v>
      </c>
      <c r="BF34" s="108">
        <f t="shared" si="9"/>
        <v>5</v>
      </c>
      <c r="BG34" s="108">
        <f t="shared" si="10"/>
        <v>5</v>
      </c>
      <c r="BH34" s="108">
        <f t="shared" si="23"/>
        <v>100</v>
      </c>
      <c r="BJ34" s="108">
        <f t="shared" si="11"/>
        <v>5</v>
      </c>
      <c r="BK34" s="108">
        <f t="shared" si="12"/>
        <v>5</v>
      </c>
      <c r="BL34" s="108">
        <f t="shared" si="13"/>
        <v>5</v>
      </c>
      <c r="BM34" s="108">
        <f t="shared" si="14"/>
        <v>5</v>
      </c>
      <c r="BN34" s="108">
        <f t="shared" si="15"/>
        <v>5</v>
      </c>
      <c r="BO34" s="108">
        <f t="shared" si="16"/>
        <v>5</v>
      </c>
      <c r="BP34" s="108">
        <f t="shared" si="17"/>
        <v>5</v>
      </c>
      <c r="BQ34" s="108">
        <f t="shared" si="18"/>
        <v>5</v>
      </c>
      <c r="BR34" s="108">
        <f t="shared" si="19"/>
        <v>5</v>
      </c>
      <c r="BS34" s="108">
        <f t="shared" si="20"/>
        <v>5</v>
      </c>
      <c r="BT34" s="108">
        <f t="shared" si="24"/>
        <v>100</v>
      </c>
    </row>
    <row r="35" spans="1:72" ht="22.5" customHeight="1" x14ac:dyDescent="0.3">
      <c r="A35" s="185"/>
      <c r="B35" s="116"/>
      <c r="C35" s="126"/>
      <c r="D35" s="126"/>
      <c r="E35" s="116"/>
      <c r="F35" s="310"/>
      <c r="G35" s="310"/>
      <c r="H35" s="295"/>
      <c r="I35" s="112"/>
      <c r="J35" s="113"/>
      <c r="K35" s="128"/>
      <c r="L35" s="114"/>
      <c r="M35" s="129"/>
      <c r="N35" s="129"/>
      <c r="O35" s="129"/>
      <c r="P35" s="129"/>
      <c r="Q35" s="129"/>
      <c r="R35" s="134"/>
      <c r="S35" s="134"/>
      <c r="T35" s="134"/>
      <c r="U35" s="134"/>
      <c r="V35" s="134"/>
      <c r="W35" s="134"/>
      <c r="X35" s="134"/>
      <c r="Y35" s="134"/>
      <c r="Z35" s="154"/>
      <c r="AA35" s="134"/>
      <c r="AB35" s="296"/>
      <c r="AC35" s="297"/>
      <c r="AD35" s="301"/>
      <c r="AE35" s="311">
        <f>SUM(AC31:AC34)</f>
        <v>3115000</v>
      </c>
      <c r="AF35" s="312">
        <f>SUM(AD31:AD34)</f>
        <v>15575</v>
      </c>
      <c r="AG35" s="309"/>
      <c r="AH35" s="309"/>
      <c r="AI35" s="309"/>
      <c r="AJ35" s="304">
        <f>SUM(AJ31:AJ34)*AJ$2*$AS$1</f>
        <v>0</v>
      </c>
      <c r="AK35" s="304">
        <f t="shared" ref="AK35:AR35" si="49">SUM(AK31:AK34)*AK$2*$AS$1</f>
        <v>0</v>
      </c>
      <c r="AL35" s="304">
        <f t="shared" si="49"/>
        <v>108500.00000000001</v>
      </c>
      <c r="AM35" s="304">
        <f t="shared" si="49"/>
        <v>108500.00000000001</v>
      </c>
      <c r="AN35" s="304">
        <f t="shared" si="49"/>
        <v>108500.00000000001</v>
      </c>
      <c r="AO35" s="304">
        <f t="shared" si="49"/>
        <v>217000.00000000003</v>
      </c>
      <c r="AP35" s="304">
        <f t="shared" si="49"/>
        <v>75950</v>
      </c>
      <c r="AQ35" s="304">
        <f t="shared" si="49"/>
        <v>0</v>
      </c>
      <c r="AR35" s="304">
        <f t="shared" si="49"/>
        <v>15750.000000000002</v>
      </c>
      <c r="AS35" s="305">
        <f>SUM(AJ35:AR35)</f>
        <v>634200.00000000012</v>
      </c>
      <c r="AX35" s="108">
        <f t="shared" si="1"/>
        <v>0</v>
      </c>
      <c r="AY35" s="108">
        <f t="shared" si="2"/>
        <v>0</v>
      </c>
      <c r="AZ35" s="108">
        <f t="shared" si="3"/>
        <v>0</v>
      </c>
      <c r="BA35" s="108">
        <f t="shared" si="4"/>
        <v>0</v>
      </c>
      <c r="BB35" s="108">
        <f t="shared" si="5"/>
        <v>0</v>
      </c>
      <c r="BC35" s="108">
        <f t="shared" si="6"/>
        <v>0</v>
      </c>
      <c r="BD35" s="108">
        <f t="shared" si="7"/>
        <v>0</v>
      </c>
      <c r="BE35" s="108">
        <f t="shared" si="8"/>
        <v>0</v>
      </c>
      <c r="BF35" s="108">
        <f t="shared" si="9"/>
        <v>0</v>
      </c>
      <c r="BG35" s="108">
        <f t="shared" si="10"/>
        <v>0</v>
      </c>
      <c r="BH35" s="108">
        <f t="shared" si="23"/>
        <v>0</v>
      </c>
      <c r="BJ35" s="108">
        <f t="shared" si="11"/>
        <v>0</v>
      </c>
      <c r="BK35" s="108">
        <f t="shared" si="12"/>
        <v>0</v>
      </c>
      <c r="BL35" s="108">
        <f t="shared" si="13"/>
        <v>0</v>
      </c>
      <c r="BM35" s="108">
        <f t="shared" si="14"/>
        <v>0</v>
      </c>
      <c r="BN35" s="108">
        <f t="shared" si="15"/>
        <v>0</v>
      </c>
      <c r="BO35" s="108">
        <f t="shared" si="16"/>
        <v>0</v>
      </c>
      <c r="BP35" s="108">
        <f t="shared" si="17"/>
        <v>0</v>
      </c>
      <c r="BQ35" s="108">
        <f t="shared" si="18"/>
        <v>0</v>
      </c>
      <c r="BR35" s="108">
        <f t="shared" si="19"/>
        <v>0</v>
      </c>
      <c r="BS35" s="108">
        <f t="shared" si="20"/>
        <v>0</v>
      </c>
      <c r="BT35" s="108">
        <f t="shared" si="24"/>
        <v>0</v>
      </c>
    </row>
    <row r="36" spans="1:72" ht="25" customHeight="1" x14ac:dyDescent="0.3">
      <c r="A36" s="185"/>
      <c r="B36" s="116" t="s">
        <v>1337</v>
      </c>
      <c r="C36" s="126" t="s">
        <v>1385</v>
      </c>
      <c r="D36" s="124" t="s">
        <v>1386</v>
      </c>
      <c r="E36" s="181" t="s">
        <v>522</v>
      </c>
      <c r="F36" s="310">
        <v>7.5570027</v>
      </c>
      <c r="G36" s="310">
        <v>134.63670619999999</v>
      </c>
      <c r="H36" s="295" t="s">
        <v>874</v>
      </c>
      <c r="I36" s="112">
        <v>1994</v>
      </c>
      <c r="J36" s="112" t="s">
        <v>311</v>
      </c>
      <c r="K36" s="295" t="s">
        <v>311</v>
      </c>
      <c r="L36" s="183">
        <v>160</v>
      </c>
      <c r="M36" s="118" t="s">
        <v>308</v>
      </c>
      <c r="N36" s="118" t="s">
        <v>298</v>
      </c>
      <c r="O36" s="118" t="s">
        <v>330</v>
      </c>
      <c r="P36" s="196" t="s">
        <v>322</v>
      </c>
      <c r="Q36" s="196" t="s">
        <v>309</v>
      </c>
      <c r="R36" s="154">
        <v>3</v>
      </c>
      <c r="S36" s="154">
        <v>3</v>
      </c>
      <c r="T36" s="154">
        <v>3</v>
      </c>
      <c r="U36" s="154">
        <v>3</v>
      </c>
      <c r="V36" s="154">
        <v>2</v>
      </c>
      <c r="W36" s="154">
        <v>2</v>
      </c>
      <c r="X36" s="154">
        <v>2</v>
      </c>
      <c r="Y36" s="154">
        <v>4</v>
      </c>
      <c r="Z36" s="154">
        <v>1</v>
      </c>
      <c r="AA36" s="154">
        <v>3</v>
      </c>
      <c r="AB36" s="296">
        <f t="shared" si="21"/>
        <v>56.000000000000007</v>
      </c>
      <c r="AC36" s="297">
        <f>L36*AC$2</f>
        <v>400000</v>
      </c>
      <c r="AD36" s="301">
        <f t="shared" si="22"/>
        <v>2000</v>
      </c>
      <c r="AE36" s="313"/>
      <c r="AJ36" s="108">
        <f t="shared" ref="AJ36:AR39" si="50">IF(OR(R36=1,R36=2),$L36,0)</f>
        <v>0</v>
      </c>
      <c r="AK36" s="108">
        <f t="shared" si="50"/>
        <v>0</v>
      </c>
      <c r="AL36" s="108">
        <f t="shared" si="50"/>
        <v>0</v>
      </c>
      <c r="AM36" s="108">
        <f t="shared" si="50"/>
        <v>0</v>
      </c>
      <c r="AN36" s="108">
        <f t="shared" si="50"/>
        <v>160</v>
      </c>
      <c r="AO36" s="108">
        <f t="shared" si="50"/>
        <v>160</v>
      </c>
      <c r="AP36" s="108">
        <f t="shared" si="50"/>
        <v>160</v>
      </c>
      <c r="AQ36" s="108">
        <f t="shared" si="50"/>
        <v>0</v>
      </c>
      <c r="AR36" s="108">
        <f t="shared" si="50"/>
        <v>160</v>
      </c>
      <c r="AX36" s="108">
        <f t="shared" si="1"/>
        <v>3</v>
      </c>
      <c r="AY36" s="108">
        <f t="shared" si="2"/>
        <v>3</v>
      </c>
      <c r="AZ36" s="108">
        <f t="shared" si="3"/>
        <v>3</v>
      </c>
      <c r="BA36" s="108">
        <f t="shared" si="4"/>
        <v>3</v>
      </c>
      <c r="BB36" s="108">
        <f t="shared" si="5"/>
        <v>2</v>
      </c>
      <c r="BC36" s="108">
        <f t="shared" si="6"/>
        <v>2</v>
      </c>
      <c r="BD36" s="108">
        <f t="shared" si="7"/>
        <v>2</v>
      </c>
      <c r="BE36" s="108">
        <f t="shared" si="8"/>
        <v>4</v>
      </c>
      <c r="BF36" s="108">
        <f t="shared" si="9"/>
        <v>1</v>
      </c>
      <c r="BG36" s="108">
        <f t="shared" si="10"/>
        <v>3</v>
      </c>
      <c r="BH36" s="108">
        <f t="shared" si="23"/>
        <v>56</v>
      </c>
      <c r="BJ36" s="108">
        <f t="shared" si="11"/>
        <v>5</v>
      </c>
      <c r="BK36" s="108">
        <f t="shared" si="12"/>
        <v>5</v>
      </c>
      <c r="BL36" s="108">
        <f t="shared" si="13"/>
        <v>5</v>
      </c>
      <c r="BM36" s="108">
        <f t="shared" si="14"/>
        <v>5</v>
      </c>
      <c r="BN36" s="108">
        <f t="shared" si="15"/>
        <v>5</v>
      </c>
      <c r="BO36" s="108">
        <f t="shared" si="16"/>
        <v>5</v>
      </c>
      <c r="BP36" s="108">
        <f t="shared" si="17"/>
        <v>5</v>
      </c>
      <c r="BQ36" s="108">
        <f t="shared" si="18"/>
        <v>5</v>
      </c>
      <c r="BR36" s="108">
        <f t="shared" si="19"/>
        <v>5</v>
      </c>
      <c r="BS36" s="108">
        <f t="shared" si="20"/>
        <v>5</v>
      </c>
      <c r="BT36" s="108">
        <f t="shared" si="24"/>
        <v>100</v>
      </c>
    </row>
    <row r="37" spans="1:72" ht="25" customHeight="1" x14ac:dyDescent="0.3">
      <c r="A37" s="185"/>
      <c r="B37" s="116" t="s">
        <v>1339</v>
      </c>
      <c r="C37" s="126" t="s">
        <v>1387</v>
      </c>
      <c r="D37" s="124" t="s">
        <v>1386</v>
      </c>
      <c r="E37" s="181" t="s">
        <v>522</v>
      </c>
      <c r="F37" s="310">
        <v>7.5572602</v>
      </c>
      <c r="G37" s="310">
        <v>134.63588859999999</v>
      </c>
      <c r="H37" s="295" t="s">
        <v>331</v>
      </c>
      <c r="I37" s="112" t="s">
        <v>502</v>
      </c>
      <c r="J37" s="112" t="s">
        <v>311</v>
      </c>
      <c r="K37" s="295" t="s">
        <v>311</v>
      </c>
      <c r="L37" s="183">
        <v>104</v>
      </c>
      <c r="M37" s="118" t="s">
        <v>308</v>
      </c>
      <c r="N37" s="118" t="s">
        <v>298</v>
      </c>
      <c r="O37" s="118" t="s">
        <v>329</v>
      </c>
      <c r="P37" s="196" t="s">
        <v>322</v>
      </c>
      <c r="Q37" s="196" t="s">
        <v>309</v>
      </c>
      <c r="R37" s="154">
        <v>4</v>
      </c>
      <c r="S37" s="154">
        <v>4</v>
      </c>
      <c r="T37" s="154">
        <v>4</v>
      </c>
      <c r="U37" s="154">
        <v>4</v>
      </c>
      <c r="V37" s="154">
        <v>4</v>
      </c>
      <c r="W37" s="154">
        <v>4</v>
      </c>
      <c r="X37" s="154">
        <v>4</v>
      </c>
      <c r="Y37" s="154" t="s">
        <v>92</v>
      </c>
      <c r="Z37" s="154">
        <v>4</v>
      </c>
      <c r="AA37" s="154">
        <v>4</v>
      </c>
      <c r="AB37" s="296">
        <f t="shared" si="21"/>
        <v>80</v>
      </c>
      <c r="AC37" s="297">
        <f>L37*AC$2</f>
        <v>260000</v>
      </c>
      <c r="AD37" s="301">
        <f t="shared" si="22"/>
        <v>1300</v>
      </c>
      <c r="AE37" s="313"/>
      <c r="AJ37" s="108">
        <f t="shared" si="50"/>
        <v>0</v>
      </c>
      <c r="AK37" s="108">
        <f t="shared" si="50"/>
        <v>0</v>
      </c>
      <c r="AL37" s="108">
        <f t="shared" si="50"/>
        <v>0</v>
      </c>
      <c r="AM37" s="108">
        <f t="shared" si="50"/>
        <v>0</v>
      </c>
      <c r="AN37" s="108">
        <f t="shared" si="50"/>
        <v>0</v>
      </c>
      <c r="AO37" s="108">
        <f t="shared" si="50"/>
        <v>0</v>
      </c>
      <c r="AP37" s="108">
        <f t="shared" si="50"/>
        <v>0</v>
      </c>
      <c r="AQ37" s="108">
        <f t="shared" si="50"/>
        <v>0</v>
      </c>
      <c r="AR37" s="108">
        <f t="shared" si="50"/>
        <v>0</v>
      </c>
      <c r="AX37" s="108">
        <f t="shared" si="1"/>
        <v>4</v>
      </c>
      <c r="AY37" s="108">
        <f t="shared" si="2"/>
        <v>4</v>
      </c>
      <c r="AZ37" s="108">
        <f t="shared" si="3"/>
        <v>4</v>
      </c>
      <c r="BA37" s="108">
        <f t="shared" si="4"/>
        <v>4</v>
      </c>
      <c r="BB37" s="108">
        <f t="shared" si="5"/>
        <v>4</v>
      </c>
      <c r="BC37" s="108">
        <f t="shared" si="6"/>
        <v>4</v>
      </c>
      <c r="BD37" s="108">
        <f t="shared" si="7"/>
        <v>4</v>
      </c>
      <c r="BE37" s="108">
        <f t="shared" si="8"/>
        <v>0</v>
      </c>
      <c r="BF37" s="108">
        <f t="shared" si="9"/>
        <v>4</v>
      </c>
      <c r="BG37" s="108">
        <f t="shared" si="10"/>
        <v>4</v>
      </c>
      <c r="BH37" s="108">
        <f t="shared" si="23"/>
        <v>76</v>
      </c>
      <c r="BJ37" s="108">
        <f t="shared" si="11"/>
        <v>5</v>
      </c>
      <c r="BK37" s="108">
        <f t="shared" si="12"/>
        <v>5</v>
      </c>
      <c r="BL37" s="108">
        <f t="shared" si="13"/>
        <v>5</v>
      </c>
      <c r="BM37" s="108">
        <f t="shared" si="14"/>
        <v>5</v>
      </c>
      <c r="BN37" s="108">
        <f t="shared" si="15"/>
        <v>5</v>
      </c>
      <c r="BO37" s="108">
        <f t="shared" si="16"/>
        <v>5</v>
      </c>
      <c r="BP37" s="108">
        <f t="shared" si="17"/>
        <v>5</v>
      </c>
      <c r="BQ37" s="108">
        <f t="shared" si="18"/>
        <v>0</v>
      </c>
      <c r="BR37" s="108">
        <f t="shared" si="19"/>
        <v>5</v>
      </c>
      <c r="BS37" s="108">
        <f t="shared" si="20"/>
        <v>5</v>
      </c>
      <c r="BT37" s="108">
        <f t="shared" si="24"/>
        <v>95</v>
      </c>
    </row>
    <row r="38" spans="1:72" ht="25" customHeight="1" x14ac:dyDescent="0.3">
      <c r="A38" s="185"/>
      <c r="B38" s="116" t="s">
        <v>1481</v>
      </c>
      <c r="C38" s="126" t="s">
        <v>1388</v>
      </c>
      <c r="D38" s="124" t="s">
        <v>1386</v>
      </c>
      <c r="E38" s="181" t="s">
        <v>522</v>
      </c>
      <c r="F38" s="310">
        <v>7.5570027</v>
      </c>
      <c r="G38" s="310">
        <v>134.63670619999999</v>
      </c>
      <c r="H38" s="295" t="s">
        <v>327</v>
      </c>
      <c r="I38" s="112">
        <v>1996</v>
      </c>
      <c r="J38" s="112" t="s">
        <v>311</v>
      </c>
      <c r="K38" s="295" t="s">
        <v>311</v>
      </c>
      <c r="L38" s="183">
        <v>178</v>
      </c>
      <c r="M38" s="118" t="s">
        <v>308</v>
      </c>
      <c r="N38" s="118" t="s">
        <v>298</v>
      </c>
      <c r="O38" s="118" t="s">
        <v>330</v>
      </c>
      <c r="P38" s="196" t="s">
        <v>322</v>
      </c>
      <c r="Q38" s="196" t="s">
        <v>309</v>
      </c>
      <c r="R38" s="154">
        <v>4</v>
      </c>
      <c r="S38" s="154">
        <v>4</v>
      </c>
      <c r="T38" s="154">
        <v>3</v>
      </c>
      <c r="U38" s="154">
        <v>4</v>
      </c>
      <c r="V38" s="154">
        <v>4</v>
      </c>
      <c r="W38" s="154">
        <v>4</v>
      </c>
      <c r="X38" s="154">
        <v>4</v>
      </c>
      <c r="Y38" s="154" t="s">
        <v>92</v>
      </c>
      <c r="Z38" s="154">
        <v>4</v>
      </c>
      <c r="AA38" s="154">
        <v>5</v>
      </c>
      <c r="AB38" s="296">
        <f t="shared" si="21"/>
        <v>82.10526315789474</v>
      </c>
      <c r="AC38" s="297">
        <f>L38*AC$2</f>
        <v>445000</v>
      </c>
      <c r="AD38" s="301">
        <f t="shared" si="22"/>
        <v>2225</v>
      </c>
      <c r="AE38" s="313"/>
      <c r="AJ38" s="108">
        <f t="shared" si="50"/>
        <v>0</v>
      </c>
      <c r="AK38" s="108">
        <f t="shared" si="50"/>
        <v>0</v>
      </c>
      <c r="AL38" s="108">
        <f t="shared" si="50"/>
        <v>0</v>
      </c>
      <c r="AM38" s="108">
        <f t="shared" si="50"/>
        <v>0</v>
      </c>
      <c r="AN38" s="108">
        <f t="shared" si="50"/>
        <v>0</v>
      </c>
      <c r="AO38" s="108">
        <f t="shared" si="50"/>
        <v>0</v>
      </c>
      <c r="AP38" s="108">
        <f t="shared" si="50"/>
        <v>0</v>
      </c>
      <c r="AQ38" s="108">
        <f t="shared" si="50"/>
        <v>0</v>
      </c>
      <c r="AR38" s="108">
        <f t="shared" si="50"/>
        <v>0</v>
      </c>
      <c r="AX38" s="108">
        <f t="shared" si="1"/>
        <v>4</v>
      </c>
      <c r="AY38" s="108">
        <f t="shared" si="2"/>
        <v>4</v>
      </c>
      <c r="AZ38" s="108">
        <f t="shared" si="3"/>
        <v>3</v>
      </c>
      <c r="BA38" s="108">
        <f t="shared" si="4"/>
        <v>4</v>
      </c>
      <c r="BB38" s="108">
        <f t="shared" si="5"/>
        <v>4</v>
      </c>
      <c r="BC38" s="108">
        <f t="shared" si="6"/>
        <v>4</v>
      </c>
      <c r="BD38" s="108">
        <f t="shared" si="7"/>
        <v>4</v>
      </c>
      <c r="BE38" s="108">
        <f t="shared" si="8"/>
        <v>0</v>
      </c>
      <c r="BF38" s="108">
        <f t="shared" si="9"/>
        <v>4</v>
      </c>
      <c r="BG38" s="108">
        <f t="shared" si="10"/>
        <v>5</v>
      </c>
      <c r="BH38" s="108">
        <f t="shared" si="23"/>
        <v>78</v>
      </c>
      <c r="BJ38" s="108">
        <f t="shared" si="11"/>
        <v>5</v>
      </c>
      <c r="BK38" s="108">
        <f t="shared" si="12"/>
        <v>5</v>
      </c>
      <c r="BL38" s="108">
        <f t="shared" si="13"/>
        <v>5</v>
      </c>
      <c r="BM38" s="108">
        <f t="shared" si="14"/>
        <v>5</v>
      </c>
      <c r="BN38" s="108">
        <f t="shared" si="15"/>
        <v>5</v>
      </c>
      <c r="BO38" s="108">
        <f t="shared" si="16"/>
        <v>5</v>
      </c>
      <c r="BP38" s="108">
        <f t="shared" si="17"/>
        <v>5</v>
      </c>
      <c r="BQ38" s="108">
        <f t="shared" si="18"/>
        <v>0</v>
      </c>
      <c r="BR38" s="108">
        <f t="shared" si="19"/>
        <v>5</v>
      </c>
      <c r="BS38" s="108">
        <f t="shared" si="20"/>
        <v>5</v>
      </c>
      <c r="BT38" s="108">
        <f t="shared" si="24"/>
        <v>95</v>
      </c>
    </row>
    <row r="39" spans="1:72" ht="25" customHeight="1" x14ac:dyDescent="0.3">
      <c r="A39" s="185"/>
      <c r="B39" s="116" t="s">
        <v>1482</v>
      </c>
      <c r="C39" s="126" t="s">
        <v>1483</v>
      </c>
      <c r="D39" s="124" t="s">
        <v>1386</v>
      </c>
      <c r="E39" s="181" t="s">
        <v>523</v>
      </c>
      <c r="F39" s="310">
        <f>7+32/60+16/3600</f>
        <v>7.5377777777777775</v>
      </c>
      <c r="G39" s="310">
        <f>134+37/60+30/3600</f>
        <v>134.625</v>
      </c>
      <c r="H39" s="295" t="s">
        <v>327</v>
      </c>
      <c r="I39" s="112">
        <v>2009</v>
      </c>
      <c r="J39" s="112" t="s">
        <v>311</v>
      </c>
      <c r="K39" s="295" t="s">
        <v>311</v>
      </c>
      <c r="L39" s="183">
        <v>105</v>
      </c>
      <c r="M39" s="118" t="s">
        <v>308</v>
      </c>
      <c r="N39" s="118" t="s">
        <v>298</v>
      </c>
      <c r="O39" s="118" t="s">
        <v>330</v>
      </c>
      <c r="P39" s="196" t="s">
        <v>322</v>
      </c>
      <c r="Q39" s="196" t="s">
        <v>309</v>
      </c>
      <c r="R39" s="154">
        <v>4</v>
      </c>
      <c r="S39" s="154">
        <v>4</v>
      </c>
      <c r="T39" s="154">
        <v>3</v>
      </c>
      <c r="U39" s="154">
        <v>4</v>
      </c>
      <c r="V39" s="154">
        <v>4</v>
      </c>
      <c r="W39" s="154">
        <v>4</v>
      </c>
      <c r="X39" s="154">
        <v>4</v>
      </c>
      <c r="Y39" s="154" t="s">
        <v>92</v>
      </c>
      <c r="Z39" s="154">
        <v>4</v>
      </c>
      <c r="AA39" s="154">
        <v>4</v>
      </c>
      <c r="AB39" s="296">
        <f t="shared" si="21"/>
        <v>77.89473684210526</v>
      </c>
      <c r="AC39" s="297">
        <f>L39*AC$2</f>
        <v>262500</v>
      </c>
      <c r="AD39" s="301">
        <f t="shared" si="22"/>
        <v>1312.5</v>
      </c>
      <c r="AE39" s="463" t="s">
        <v>1386</v>
      </c>
      <c r="AF39" s="463"/>
      <c r="AJ39" s="108">
        <f t="shared" si="50"/>
        <v>0</v>
      </c>
      <c r="AK39" s="108">
        <f t="shared" si="50"/>
        <v>0</v>
      </c>
      <c r="AL39" s="108">
        <f t="shared" si="50"/>
        <v>0</v>
      </c>
      <c r="AM39" s="108">
        <f t="shared" si="50"/>
        <v>0</v>
      </c>
      <c r="AN39" s="108">
        <f t="shared" si="50"/>
        <v>0</v>
      </c>
      <c r="AO39" s="108">
        <f t="shared" si="50"/>
        <v>0</v>
      </c>
      <c r="AP39" s="108">
        <f t="shared" si="50"/>
        <v>0</v>
      </c>
      <c r="AQ39" s="108">
        <f t="shared" si="50"/>
        <v>0</v>
      </c>
      <c r="AR39" s="108">
        <f t="shared" si="50"/>
        <v>0</v>
      </c>
      <c r="AX39" s="108">
        <f t="shared" si="1"/>
        <v>4</v>
      </c>
      <c r="AY39" s="108">
        <f t="shared" si="2"/>
        <v>4</v>
      </c>
      <c r="AZ39" s="108">
        <f t="shared" si="3"/>
        <v>3</v>
      </c>
      <c r="BA39" s="108">
        <f t="shared" si="4"/>
        <v>4</v>
      </c>
      <c r="BB39" s="108">
        <f t="shared" si="5"/>
        <v>4</v>
      </c>
      <c r="BC39" s="108">
        <f t="shared" si="6"/>
        <v>4</v>
      </c>
      <c r="BD39" s="108">
        <f t="shared" si="7"/>
        <v>4</v>
      </c>
      <c r="BE39" s="108">
        <f t="shared" si="8"/>
        <v>0</v>
      </c>
      <c r="BF39" s="108">
        <f t="shared" si="9"/>
        <v>4</v>
      </c>
      <c r="BG39" s="108">
        <f t="shared" si="10"/>
        <v>4</v>
      </c>
      <c r="BH39" s="108">
        <f t="shared" si="23"/>
        <v>74</v>
      </c>
      <c r="BJ39" s="108">
        <f t="shared" si="11"/>
        <v>5</v>
      </c>
      <c r="BK39" s="108">
        <f t="shared" si="12"/>
        <v>5</v>
      </c>
      <c r="BL39" s="108">
        <f t="shared" si="13"/>
        <v>5</v>
      </c>
      <c r="BM39" s="108">
        <f t="shared" si="14"/>
        <v>5</v>
      </c>
      <c r="BN39" s="108">
        <f t="shared" si="15"/>
        <v>5</v>
      </c>
      <c r="BO39" s="108">
        <f t="shared" si="16"/>
        <v>5</v>
      </c>
      <c r="BP39" s="108">
        <f t="shared" si="17"/>
        <v>5</v>
      </c>
      <c r="BQ39" s="108">
        <f t="shared" si="18"/>
        <v>0</v>
      </c>
      <c r="BR39" s="108">
        <f t="shared" si="19"/>
        <v>5</v>
      </c>
      <c r="BS39" s="108">
        <f t="shared" si="20"/>
        <v>5</v>
      </c>
      <c r="BT39" s="108">
        <f t="shared" si="24"/>
        <v>95</v>
      </c>
    </row>
    <row r="40" spans="1:72" ht="25" customHeight="1" x14ac:dyDescent="0.3">
      <c r="A40" s="185"/>
      <c r="B40" s="116"/>
      <c r="C40" s="126"/>
      <c r="D40" s="124"/>
      <c r="E40" s="181"/>
      <c r="F40" s="310"/>
      <c r="G40" s="310"/>
      <c r="H40" s="295"/>
      <c r="I40" s="112"/>
      <c r="J40" s="112"/>
      <c r="K40" s="295"/>
      <c r="L40" s="183"/>
      <c r="M40" s="118"/>
      <c r="N40" s="118"/>
      <c r="O40" s="118"/>
      <c r="P40" s="196"/>
      <c r="Q40" s="196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296"/>
      <c r="AC40" s="297"/>
      <c r="AD40" s="301"/>
      <c r="AE40" s="302">
        <f>SUM(AC36:AC39)</f>
        <v>1367500</v>
      </c>
      <c r="AF40" s="302">
        <f>SUM(AD36:AD39)</f>
        <v>6837.5</v>
      </c>
      <c r="AG40" s="303"/>
      <c r="AH40" s="303"/>
      <c r="AI40" s="303"/>
      <c r="AJ40" s="304">
        <f>SUM(AJ36:AJ39)*AJ$2*$AS$1</f>
        <v>0</v>
      </c>
      <c r="AK40" s="304">
        <f t="shared" ref="AK40:AR40" si="51">SUM(AK36:AK39)*AK$2*$AS$1</f>
        <v>0</v>
      </c>
      <c r="AL40" s="304">
        <f t="shared" si="51"/>
        <v>0</v>
      </c>
      <c r="AM40" s="304">
        <f t="shared" si="51"/>
        <v>0</v>
      </c>
      <c r="AN40" s="304">
        <f t="shared" si="51"/>
        <v>40000</v>
      </c>
      <c r="AO40" s="304">
        <f t="shared" si="51"/>
        <v>80000</v>
      </c>
      <c r="AP40" s="304">
        <f t="shared" si="51"/>
        <v>28000.000000000004</v>
      </c>
      <c r="AQ40" s="304">
        <f t="shared" si="51"/>
        <v>0</v>
      </c>
      <c r="AR40" s="304">
        <f t="shared" si="51"/>
        <v>28000.000000000004</v>
      </c>
      <c r="AS40" s="305">
        <f>SUM(AJ40:AR40)</f>
        <v>176000</v>
      </c>
      <c r="AX40" s="108">
        <f t="shared" si="1"/>
        <v>0</v>
      </c>
      <c r="AY40" s="108">
        <f t="shared" si="2"/>
        <v>0</v>
      </c>
      <c r="AZ40" s="108">
        <f t="shared" si="3"/>
        <v>0</v>
      </c>
      <c r="BA40" s="108">
        <f t="shared" si="4"/>
        <v>0</v>
      </c>
      <c r="BB40" s="108">
        <f t="shared" si="5"/>
        <v>0</v>
      </c>
      <c r="BC40" s="108">
        <f t="shared" si="6"/>
        <v>0</v>
      </c>
      <c r="BD40" s="108">
        <f t="shared" si="7"/>
        <v>0</v>
      </c>
      <c r="BE40" s="108">
        <f t="shared" si="8"/>
        <v>0</v>
      </c>
      <c r="BF40" s="108">
        <f t="shared" si="9"/>
        <v>0</v>
      </c>
      <c r="BG40" s="108">
        <f t="shared" si="10"/>
        <v>0</v>
      </c>
      <c r="BH40" s="108">
        <f t="shared" si="23"/>
        <v>0</v>
      </c>
      <c r="BJ40" s="108">
        <f t="shared" si="11"/>
        <v>0</v>
      </c>
      <c r="BK40" s="108">
        <f t="shared" si="12"/>
        <v>0</v>
      </c>
      <c r="BL40" s="108">
        <f t="shared" si="13"/>
        <v>0</v>
      </c>
      <c r="BM40" s="108">
        <f t="shared" si="14"/>
        <v>0</v>
      </c>
      <c r="BN40" s="108">
        <f t="shared" si="15"/>
        <v>0</v>
      </c>
      <c r="BO40" s="108">
        <f t="shared" si="16"/>
        <v>0</v>
      </c>
      <c r="BP40" s="108">
        <f t="shared" si="17"/>
        <v>0</v>
      </c>
      <c r="BQ40" s="108">
        <f t="shared" si="18"/>
        <v>0</v>
      </c>
      <c r="BR40" s="108">
        <f t="shared" si="19"/>
        <v>0</v>
      </c>
      <c r="BS40" s="108">
        <f t="shared" si="20"/>
        <v>0</v>
      </c>
      <c r="BT40" s="108">
        <f t="shared" si="24"/>
        <v>0</v>
      </c>
    </row>
    <row r="41" spans="1:72" ht="25" customHeight="1" x14ac:dyDescent="0.3">
      <c r="A41" s="185"/>
      <c r="B41" s="116" t="s">
        <v>1341</v>
      </c>
      <c r="C41" s="126" t="s">
        <v>1787</v>
      </c>
      <c r="D41" s="124" t="s">
        <v>1788</v>
      </c>
      <c r="E41" s="181" t="s">
        <v>1789</v>
      </c>
      <c r="F41" s="310">
        <f>7+29.55414/60</f>
        <v>7.4925689999999996</v>
      </c>
      <c r="G41" s="310">
        <f>134+38.19305/60</f>
        <v>134.63655083333333</v>
      </c>
      <c r="H41" s="295" t="s">
        <v>1510</v>
      </c>
      <c r="I41" s="112"/>
      <c r="J41" s="112" t="s">
        <v>311</v>
      </c>
      <c r="K41" s="295" t="s">
        <v>311</v>
      </c>
      <c r="L41" s="183">
        <v>316</v>
      </c>
      <c r="M41" s="118" t="s">
        <v>308</v>
      </c>
      <c r="N41" s="118" t="s">
        <v>298</v>
      </c>
      <c r="O41" s="118" t="s">
        <v>329</v>
      </c>
      <c r="P41" s="196" t="s">
        <v>322</v>
      </c>
      <c r="Q41" s="196" t="s">
        <v>309</v>
      </c>
      <c r="R41" s="154">
        <v>3</v>
      </c>
      <c r="S41" s="154">
        <v>3</v>
      </c>
      <c r="T41" s="154">
        <v>4</v>
      </c>
      <c r="U41" s="154">
        <v>3</v>
      </c>
      <c r="V41" s="154">
        <v>4</v>
      </c>
      <c r="W41" s="154">
        <v>4</v>
      </c>
      <c r="X41" s="154">
        <v>4</v>
      </c>
      <c r="Y41" s="154">
        <v>4</v>
      </c>
      <c r="Z41" s="154">
        <v>4</v>
      </c>
      <c r="AA41" s="154">
        <v>5</v>
      </c>
      <c r="AB41" s="296">
        <f t="shared" si="21"/>
        <v>75</v>
      </c>
      <c r="AC41" s="297">
        <f>L41*AC$2</f>
        <v>790000</v>
      </c>
      <c r="AD41" s="301">
        <f t="shared" si="22"/>
        <v>3950</v>
      </c>
      <c r="AE41" s="298"/>
      <c r="AJ41" s="108">
        <f t="shared" ref="AJ41:AR43" si="52">IF(OR(R41=1,R41=2),$L41,0)</f>
        <v>0</v>
      </c>
      <c r="AK41" s="108">
        <f t="shared" si="52"/>
        <v>0</v>
      </c>
      <c r="AL41" s="108">
        <f t="shared" si="52"/>
        <v>0</v>
      </c>
      <c r="AM41" s="108">
        <f t="shared" si="52"/>
        <v>0</v>
      </c>
      <c r="AN41" s="108">
        <f t="shared" si="52"/>
        <v>0</v>
      </c>
      <c r="AO41" s="108">
        <f t="shared" si="52"/>
        <v>0</v>
      </c>
      <c r="AP41" s="108">
        <f t="shared" si="52"/>
        <v>0</v>
      </c>
      <c r="AQ41" s="108">
        <f t="shared" si="52"/>
        <v>0</v>
      </c>
      <c r="AR41" s="108">
        <f t="shared" si="52"/>
        <v>0</v>
      </c>
      <c r="AX41" s="108">
        <f t="shared" si="1"/>
        <v>3</v>
      </c>
      <c r="AY41" s="108">
        <f t="shared" si="2"/>
        <v>3</v>
      </c>
      <c r="AZ41" s="108">
        <f t="shared" si="3"/>
        <v>4</v>
      </c>
      <c r="BA41" s="108">
        <f t="shared" si="4"/>
        <v>3</v>
      </c>
      <c r="BB41" s="108">
        <f t="shared" si="5"/>
        <v>4</v>
      </c>
      <c r="BC41" s="108">
        <f t="shared" si="6"/>
        <v>4</v>
      </c>
      <c r="BD41" s="108">
        <f t="shared" si="7"/>
        <v>4</v>
      </c>
      <c r="BE41" s="108">
        <f t="shared" si="8"/>
        <v>4</v>
      </c>
      <c r="BF41" s="108">
        <f t="shared" si="9"/>
        <v>4</v>
      </c>
      <c r="BG41" s="108">
        <f t="shared" si="10"/>
        <v>5</v>
      </c>
      <c r="BH41" s="108">
        <f t="shared" si="23"/>
        <v>75</v>
      </c>
      <c r="BJ41" s="108">
        <f t="shared" si="11"/>
        <v>5</v>
      </c>
      <c r="BK41" s="108">
        <f t="shared" si="12"/>
        <v>5</v>
      </c>
      <c r="BL41" s="108">
        <f t="shared" si="13"/>
        <v>5</v>
      </c>
      <c r="BM41" s="108">
        <f t="shared" si="14"/>
        <v>5</v>
      </c>
      <c r="BN41" s="108">
        <f t="shared" si="15"/>
        <v>5</v>
      </c>
      <c r="BO41" s="108">
        <f t="shared" si="16"/>
        <v>5</v>
      </c>
      <c r="BP41" s="108">
        <f t="shared" si="17"/>
        <v>5</v>
      </c>
      <c r="BQ41" s="108">
        <f t="shared" si="18"/>
        <v>5</v>
      </c>
      <c r="BR41" s="108">
        <f t="shared" si="19"/>
        <v>5</v>
      </c>
      <c r="BS41" s="108">
        <f t="shared" si="20"/>
        <v>5</v>
      </c>
      <c r="BT41" s="108">
        <f t="shared" si="24"/>
        <v>100</v>
      </c>
    </row>
    <row r="42" spans="1:72" ht="25" customHeight="1" x14ac:dyDescent="0.3">
      <c r="A42" s="185"/>
      <c r="B42" s="116" t="s">
        <v>1790</v>
      </c>
      <c r="C42" s="126" t="s">
        <v>1791</v>
      </c>
      <c r="D42" s="124" t="s">
        <v>1788</v>
      </c>
      <c r="E42" s="181" t="s">
        <v>594</v>
      </c>
      <c r="F42" s="310">
        <f>7+29.39907/60</f>
        <v>7.4899845000000003</v>
      </c>
      <c r="G42" s="310">
        <f>134+37.90649/60</f>
        <v>134.63177483333334</v>
      </c>
      <c r="H42" s="295" t="s">
        <v>331</v>
      </c>
      <c r="I42" s="112"/>
      <c r="J42" s="112" t="s">
        <v>311</v>
      </c>
      <c r="K42" s="295" t="s">
        <v>311</v>
      </c>
      <c r="L42" s="183">
        <v>89</v>
      </c>
      <c r="M42" s="118" t="s">
        <v>308</v>
      </c>
      <c r="N42" s="118" t="s">
        <v>298</v>
      </c>
      <c r="O42" s="118" t="s">
        <v>329</v>
      </c>
      <c r="P42" s="196" t="s">
        <v>322</v>
      </c>
      <c r="Q42" s="196" t="s">
        <v>309</v>
      </c>
      <c r="R42" s="154">
        <v>4</v>
      </c>
      <c r="S42" s="154">
        <v>4</v>
      </c>
      <c r="T42" s="154">
        <v>4</v>
      </c>
      <c r="U42" s="154">
        <v>2</v>
      </c>
      <c r="V42" s="154">
        <v>4</v>
      </c>
      <c r="W42" s="154">
        <v>1</v>
      </c>
      <c r="X42" s="154">
        <v>4</v>
      </c>
      <c r="Y42" s="154" t="s">
        <v>92</v>
      </c>
      <c r="Z42" s="154">
        <v>4</v>
      </c>
      <c r="AA42" s="154">
        <v>5</v>
      </c>
      <c r="AB42" s="296">
        <f t="shared" si="21"/>
        <v>78.94736842105263</v>
      </c>
      <c r="AC42" s="297">
        <f>L42*AC$2</f>
        <v>222500</v>
      </c>
      <c r="AD42" s="301">
        <f t="shared" si="22"/>
        <v>1112.5</v>
      </c>
      <c r="AE42" s="298"/>
      <c r="AJ42" s="108">
        <f t="shared" si="52"/>
        <v>0</v>
      </c>
      <c r="AK42" s="108">
        <f t="shared" si="52"/>
        <v>0</v>
      </c>
      <c r="AL42" s="108">
        <f t="shared" si="52"/>
        <v>0</v>
      </c>
      <c r="AM42" s="108">
        <f t="shared" si="52"/>
        <v>89</v>
      </c>
      <c r="AN42" s="108">
        <f t="shared" si="52"/>
        <v>0</v>
      </c>
      <c r="AO42" s="108">
        <f t="shared" si="52"/>
        <v>89</v>
      </c>
      <c r="AP42" s="108">
        <f t="shared" si="52"/>
        <v>0</v>
      </c>
      <c r="AQ42" s="108">
        <f t="shared" si="52"/>
        <v>0</v>
      </c>
      <c r="AR42" s="108">
        <f t="shared" si="52"/>
        <v>0</v>
      </c>
      <c r="AX42" s="108">
        <f t="shared" si="1"/>
        <v>4</v>
      </c>
      <c r="AY42" s="108">
        <f t="shared" si="2"/>
        <v>4</v>
      </c>
      <c r="AZ42" s="108">
        <f t="shared" si="3"/>
        <v>4</v>
      </c>
      <c r="BA42" s="108">
        <f t="shared" si="4"/>
        <v>2</v>
      </c>
      <c r="BB42" s="108">
        <f t="shared" si="5"/>
        <v>4</v>
      </c>
      <c r="BC42" s="108">
        <f t="shared" si="6"/>
        <v>1</v>
      </c>
      <c r="BD42" s="108">
        <f t="shared" si="7"/>
        <v>4</v>
      </c>
      <c r="BE42" s="108">
        <f t="shared" si="8"/>
        <v>0</v>
      </c>
      <c r="BF42" s="108">
        <f t="shared" si="9"/>
        <v>4</v>
      </c>
      <c r="BG42" s="108">
        <f t="shared" si="10"/>
        <v>5</v>
      </c>
      <c r="BH42" s="108">
        <f t="shared" si="23"/>
        <v>75</v>
      </c>
      <c r="BJ42" s="108">
        <f t="shared" si="11"/>
        <v>5</v>
      </c>
      <c r="BK42" s="108">
        <f t="shared" si="12"/>
        <v>5</v>
      </c>
      <c r="BL42" s="108">
        <f t="shared" si="13"/>
        <v>5</v>
      </c>
      <c r="BM42" s="108">
        <f t="shared" si="14"/>
        <v>5</v>
      </c>
      <c r="BN42" s="108">
        <f t="shared" si="15"/>
        <v>5</v>
      </c>
      <c r="BO42" s="108">
        <f t="shared" si="16"/>
        <v>5</v>
      </c>
      <c r="BP42" s="108">
        <f t="shared" si="17"/>
        <v>5</v>
      </c>
      <c r="BQ42" s="108">
        <f t="shared" si="18"/>
        <v>0</v>
      </c>
      <c r="BR42" s="108">
        <f t="shared" si="19"/>
        <v>5</v>
      </c>
      <c r="BS42" s="108">
        <f t="shared" si="20"/>
        <v>5</v>
      </c>
      <c r="BT42" s="108">
        <f t="shared" si="24"/>
        <v>95</v>
      </c>
    </row>
    <row r="43" spans="1:72" ht="25" customHeight="1" x14ac:dyDescent="0.3">
      <c r="A43" s="185"/>
      <c r="B43" s="116" t="s">
        <v>1792</v>
      </c>
      <c r="C43" s="126" t="s">
        <v>1793</v>
      </c>
      <c r="D43" s="124" t="s">
        <v>1788</v>
      </c>
      <c r="E43" s="181" t="s">
        <v>594</v>
      </c>
      <c r="F43" s="310">
        <f>7+29.74769/60</f>
        <v>7.4957948333333331</v>
      </c>
      <c r="G43" s="310">
        <f>134+38.22876/60</f>
        <v>134.637146</v>
      </c>
      <c r="H43" s="295" t="s">
        <v>331</v>
      </c>
      <c r="I43" s="112"/>
      <c r="J43" s="112" t="s">
        <v>311</v>
      </c>
      <c r="K43" s="295" t="s">
        <v>311</v>
      </c>
      <c r="L43" s="183">
        <v>242</v>
      </c>
      <c r="M43" s="118" t="s">
        <v>308</v>
      </c>
      <c r="N43" s="118" t="s">
        <v>298</v>
      </c>
      <c r="O43" s="118" t="s">
        <v>329</v>
      </c>
      <c r="P43" s="196" t="s">
        <v>322</v>
      </c>
      <c r="Q43" s="196" t="s">
        <v>309</v>
      </c>
      <c r="R43" s="154">
        <v>4</v>
      </c>
      <c r="S43" s="154">
        <v>4</v>
      </c>
      <c r="T43" s="154">
        <v>3</v>
      </c>
      <c r="U43" s="154">
        <v>2</v>
      </c>
      <c r="V43" s="154">
        <v>4</v>
      </c>
      <c r="W43" s="154">
        <v>1</v>
      </c>
      <c r="X43" s="154">
        <v>3</v>
      </c>
      <c r="Y43" s="154" t="s">
        <v>92</v>
      </c>
      <c r="Z43" s="154">
        <v>4</v>
      </c>
      <c r="AA43" s="154">
        <v>5</v>
      </c>
      <c r="AB43" s="296">
        <f t="shared" si="21"/>
        <v>75.789473684210535</v>
      </c>
      <c r="AC43" s="297">
        <f>L43*AC$2</f>
        <v>605000</v>
      </c>
      <c r="AD43" s="301">
        <f t="shared" si="22"/>
        <v>3025</v>
      </c>
      <c r="AE43" s="463" t="s">
        <v>1788</v>
      </c>
      <c r="AF43" s="463"/>
      <c r="AJ43" s="108">
        <f t="shared" si="52"/>
        <v>0</v>
      </c>
      <c r="AK43" s="108">
        <f t="shared" si="52"/>
        <v>0</v>
      </c>
      <c r="AL43" s="108">
        <f t="shared" si="52"/>
        <v>0</v>
      </c>
      <c r="AM43" s="108">
        <f t="shared" si="52"/>
        <v>242</v>
      </c>
      <c r="AN43" s="108">
        <f t="shared" si="52"/>
        <v>0</v>
      </c>
      <c r="AO43" s="108">
        <f t="shared" si="52"/>
        <v>242</v>
      </c>
      <c r="AP43" s="108">
        <f t="shared" si="52"/>
        <v>0</v>
      </c>
      <c r="AQ43" s="108">
        <f t="shared" si="52"/>
        <v>0</v>
      </c>
      <c r="AR43" s="108">
        <f t="shared" si="52"/>
        <v>0</v>
      </c>
      <c r="AX43" s="108">
        <f t="shared" si="1"/>
        <v>4</v>
      </c>
      <c r="AY43" s="108">
        <f t="shared" si="2"/>
        <v>4</v>
      </c>
      <c r="AZ43" s="108">
        <f t="shared" si="3"/>
        <v>3</v>
      </c>
      <c r="BA43" s="108">
        <f t="shared" si="4"/>
        <v>2</v>
      </c>
      <c r="BB43" s="108">
        <f t="shared" si="5"/>
        <v>4</v>
      </c>
      <c r="BC43" s="108">
        <f t="shared" si="6"/>
        <v>1</v>
      </c>
      <c r="BD43" s="108">
        <f t="shared" si="7"/>
        <v>3</v>
      </c>
      <c r="BE43" s="108">
        <f t="shared" si="8"/>
        <v>0</v>
      </c>
      <c r="BF43" s="108">
        <f t="shared" si="9"/>
        <v>4</v>
      </c>
      <c r="BG43" s="108">
        <f t="shared" si="10"/>
        <v>5</v>
      </c>
      <c r="BH43" s="108">
        <f t="shared" si="23"/>
        <v>72</v>
      </c>
      <c r="BJ43" s="108">
        <f t="shared" si="11"/>
        <v>5</v>
      </c>
      <c r="BK43" s="108">
        <f t="shared" si="12"/>
        <v>5</v>
      </c>
      <c r="BL43" s="108">
        <f t="shared" si="13"/>
        <v>5</v>
      </c>
      <c r="BM43" s="108">
        <f t="shared" si="14"/>
        <v>5</v>
      </c>
      <c r="BN43" s="108">
        <f t="shared" si="15"/>
        <v>5</v>
      </c>
      <c r="BO43" s="108">
        <f t="shared" si="16"/>
        <v>5</v>
      </c>
      <c r="BP43" s="108">
        <f t="shared" si="17"/>
        <v>5</v>
      </c>
      <c r="BQ43" s="108">
        <f t="shared" si="18"/>
        <v>0</v>
      </c>
      <c r="BR43" s="108">
        <f t="shared" si="19"/>
        <v>5</v>
      </c>
      <c r="BS43" s="108">
        <f t="shared" si="20"/>
        <v>5</v>
      </c>
      <c r="BT43" s="108">
        <f t="shared" si="24"/>
        <v>95</v>
      </c>
    </row>
    <row r="44" spans="1:72" ht="25" customHeight="1" x14ac:dyDescent="0.3">
      <c r="A44" s="185"/>
      <c r="B44" s="116"/>
      <c r="C44" s="126"/>
      <c r="D44" s="124"/>
      <c r="E44" s="181"/>
      <c r="F44" s="310"/>
      <c r="G44" s="310"/>
      <c r="H44" s="295"/>
      <c r="I44" s="112"/>
      <c r="J44" s="112"/>
      <c r="K44" s="295"/>
      <c r="L44" s="183"/>
      <c r="M44" s="118"/>
      <c r="N44" s="118"/>
      <c r="O44" s="118"/>
      <c r="P44" s="196"/>
      <c r="Q44" s="196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296"/>
      <c r="AC44" s="297"/>
      <c r="AD44" s="301"/>
      <c r="AE44" s="302">
        <f>SUM(AC41:AC43)</f>
        <v>1617500</v>
      </c>
      <c r="AF44" s="302">
        <f>SUM(AD40:AD43)</f>
        <v>8087.5</v>
      </c>
      <c r="AG44" s="303"/>
      <c r="AH44" s="303"/>
      <c r="AI44" s="303"/>
      <c r="AJ44" s="304">
        <f>SUM(AJ41:AJ43)*AJ$2*$AS$1</f>
        <v>0</v>
      </c>
      <c r="AK44" s="304">
        <f t="shared" ref="AK44:AR44" si="53">SUM(AK41:AK43)*AK$2*$AS$1</f>
        <v>0</v>
      </c>
      <c r="AL44" s="304">
        <f t="shared" si="53"/>
        <v>0</v>
      </c>
      <c r="AM44" s="304">
        <f t="shared" si="53"/>
        <v>82750</v>
      </c>
      <c r="AN44" s="304">
        <f t="shared" si="53"/>
        <v>0</v>
      </c>
      <c r="AO44" s="304">
        <f t="shared" si="53"/>
        <v>165500</v>
      </c>
      <c r="AP44" s="304">
        <f t="shared" si="53"/>
        <v>0</v>
      </c>
      <c r="AQ44" s="304">
        <f t="shared" si="53"/>
        <v>0</v>
      </c>
      <c r="AR44" s="304">
        <f t="shared" si="53"/>
        <v>0</v>
      </c>
      <c r="AS44" s="305">
        <f>SUM(AJ44:AR44)</f>
        <v>248250</v>
      </c>
      <c r="AX44" s="108">
        <f t="shared" si="1"/>
        <v>0</v>
      </c>
      <c r="AY44" s="108">
        <f t="shared" si="2"/>
        <v>0</v>
      </c>
      <c r="AZ44" s="108">
        <f t="shared" si="3"/>
        <v>0</v>
      </c>
      <c r="BA44" s="108">
        <f t="shared" si="4"/>
        <v>0</v>
      </c>
      <c r="BB44" s="108">
        <f t="shared" si="5"/>
        <v>0</v>
      </c>
      <c r="BC44" s="108">
        <f t="shared" si="6"/>
        <v>0</v>
      </c>
      <c r="BD44" s="108">
        <f t="shared" si="7"/>
        <v>0</v>
      </c>
      <c r="BE44" s="108">
        <f t="shared" si="8"/>
        <v>0</v>
      </c>
      <c r="BF44" s="108">
        <f t="shared" si="9"/>
        <v>0</v>
      </c>
      <c r="BG44" s="108">
        <f t="shared" si="10"/>
        <v>0</v>
      </c>
      <c r="BH44" s="108">
        <f t="shared" si="23"/>
        <v>0</v>
      </c>
      <c r="BJ44" s="108">
        <f t="shared" si="11"/>
        <v>0</v>
      </c>
      <c r="BK44" s="108">
        <f t="shared" si="12"/>
        <v>0</v>
      </c>
      <c r="BL44" s="108">
        <f t="shared" si="13"/>
        <v>0</v>
      </c>
      <c r="BM44" s="108">
        <f t="shared" si="14"/>
        <v>0</v>
      </c>
      <c r="BN44" s="108">
        <f t="shared" si="15"/>
        <v>0</v>
      </c>
      <c r="BO44" s="108">
        <f t="shared" si="16"/>
        <v>0</v>
      </c>
      <c r="BP44" s="108">
        <f t="shared" si="17"/>
        <v>0</v>
      </c>
      <c r="BQ44" s="108">
        <f t="shared" si="18"/>
        <v>0</v>
      </c>
      <c r="BR44" s="108">
        <f t="shared" si="19"/>
        <v>0</v>
      </c>
      <c r="BS44" s="108">
        <f t="shared" si="20"/>
        <v>0</v>
      </c>
      <c r="BT44" s="108">
        <f t="shared" si="24"/>
        <v>0</v>
      </c>
    </row>
    <row r="45" spans="1:72" ht="25" customHeight="1" x14ac:dyDescent="0.3">
      <c r="A45" s="185"/>
      <c r="B45" s="116" t="s">
        <v>1343</v>
      </c>
      <c r="C45" s="126" t="s">
        <v>1794</v>
      </c>
      <c r="D45" s="124" t="s">
        <v>1795</v>
      </c>
      <c r="E45" s="181" t="s">
        <v>618</v>
      </c>
      <c r="F45" s="310">
        <f>7+28/60+8/3600</f>
        <v>7.4688888888888894</v>
      </c>
      <c r="G45" s="310">
        <f>134+36/60+37/3600</f>
        <v>134.61027777777778</v>
      </c>
      <c r="H45" s="295" t="s">
        <v>331</v>
      </c>
      <c r="I45" s="112"/>
      <c r="J45" s="112" t="s">
        <v>311</v>
      </c>
      <c r="K45" s="295" t="s">
        <v>311</v>
      </c>
      <c r="L45" s="183">
        <v>484</v>
      </c>
      <c r="M45" s="118" t="s">
        <v>308</v>
      </c>
      <c r="N45" s="118" t="s">
        <v>298</v>
      </c>
      <c r="O45" s="118" t="s">
        <v>329</v>
      </c>
      <c r="P45" s="196" t="s">
        <v>322</v>
      </c>
      <c r="Q45" s="196" t="s">
        <v>309</v>
      </c>
      <c r="R45" s="154">
        <v>3</v>
      </c>
      <c r="S45" s="154">
        <v>4</v>
      </c>
      <c r="T45" s="154">
        <v>3</v>
      </c>
      <c r="U45" s="154">
        <v>3</v>
      </c>
      <c r="V45" s="154">
        <v>3</v>
      </c>
      <c r="W45" s="154">
        <v>3</v>
      </c>
      <c r="X45" s="154">
        <v>3</v>
      </c>
      <c r="Y45" s="154">
        <v>4</v>
      </c>
      <c r="Z45" s="154">
        <v>3</v>
      </c>
      <c r="AA45" s="154">
        <v>5</v>
      </c>
      <c r="AB45" s="296">
        <f t="shared" si="21"/>
        <v>74</v>
      </c>
      <c r="AC45" s="297">
        <f>L45*AC$2</f>
        <v>1210000</v>
      </c>
      <c r="AD45" s="301">
        <f t="shared" si="22"/>
        <v>6050</v>
      </c>
      <c r="AE45" s="298"/>
      <c r="AJ45" s="108">
        <f t="shared" ref="AJ45:AR49" si="54">IF(OR(R45=1,R45=2),$L45,0)</f>
        <v>0</v>
      </c>
      <c r="AK45" s="108">
        <f t="shared" si="54"/>
        <v>0</v>
      </c>
      <c r="AL45" s="108">
        <f t="shared" si="54"/>
        <v>0</v>
      </c>
      <c r="AM45" s="108">
        <f t="shared" si="54"/>
        <v>0</v>
      </c>
      <c r="AN45" s="108">
        <f t="shared" si="54"/>
        <v>0</v>
      </c>
      <c r="AO45" s="108">
        <f t="shared" si="54"/>
        <v>0</v>
      </c>
      <c r="AP45" s="108">
        <f t="shared" si="54"/>
        <v>0</v>
      </c>
      <c r="AQ45" s="108">
        <f t="shared" si="54"/>
        <v>0</v>
      </c>
      <c r="AR45" s="108">
        <f t="shared" si="54"/>
        <v>0</v>
      </c>
      <c r="AX45" s="108">
        <f t="shared" si="1"/>
        <v>3</v>
      </c>
      <c r="AY45" s="108">
        <f t="shared" si="2"/>
        <v>4</v>
      </c>
      <c r="AZ45" s="108">
        <f t="shared" si="3"/>
        <v>3</v>
      </c>
      <c r="BA45" s="108">
        <f t="shared" si="4"/>
        <v>3</v>
      </c>
      <c r="BB45" s="108">
        <f t="shared" si="5"/>
        <v>3</v>
      </c>
      <c r="BC45" s="108">
        <f t="shared" si="6"/>
        <v>3</v>
      </c>
      <c r="BD45" s="108">
        <f t="shared" si="7"/>
        <v>3</v>
      </c>
      <c r="BE45" s="108">
        <f t="shared" si="8"/>
        <v>4</v>
      </c>
      <c r="BF45" s="108">
        <f t="shared" si="9"/>
        <v>3</v>
      </c>
      <c r="BG45" s="108">
        <f t="shared" si="10"/>
        <v>5</v>
      </c>
      <c r="BH45" s="108">
        <f t="shared" si="23"/>
        <v>74</v>
      </c>
      <c r="BJ45" s="108">
        <f t="shared" si="11"/>
        <v>5</v>
      </c>
      <c r="BK45" s="108">
        <f t="shared" si="12"/>
        <v>5</v>
      </c>
      <c r="BL45" s="108">
        <f t="shared" si="13"/>
        <v>5</v>
      </c>
      <c r="BM45" s="108">
        <f t="shared" si="14"/>
        <v>5</v>
      </c>
      <c r="BN45" s="108">
        <f t="shared" si="15"/>
        <v>5</v>
      </c>
      <c r="BO45" s="108">
        <f t="shared" si="16"/>
        <v>5</v>
      </c>
      <c r="BP45" s="108">
        <f t="shared" si="17"/>
        <v>5</v>
      </c>
      <c r="BQ45" s="108">
        <f t="shared" si="18"/>
        <v>5</v>
      </c>
      <c r="BR45" s="108">
        <f t="shared" si="19"/>
        <v>5</v>
      </c>
      <c r="BS45" s="108">
        <f t="shared" si="20"/>
        <v>5</v>
      </c>
      <c r="BT45" s="108">
        <f t="shared" si="24"/>
        <v>100</v>
      </c>
    </row>
    <row r="46" spans="1:72" ht="25" customHeight="1" x14ac:dyDescent="0.3">
      <c r="A46" s="185"/>
      <c r="B46" s="116" t="s">
        <v>1345</v>
      </c>
      <c r="C46" s="126" t="s">
        <v>1796</v>
      </c>
      <c r="D46" s="124" t="s">
        <v>1795</v>
      </c>
      <c r="E46" s="181" t="s">
        <v>618</v>
      </c>
      <c r="F46" s="310">
        <f>7+28/60+13/3600</f>
        <v>7.4702777777777776</v>
      </c>
      <c r="G46" s="310">
        <f>134+36/60+37/3600</f>
        <v>134.61027777777778</v>
      </c>
      <c r="H46" s="295" t="s">
        <v>331</v>
      </c>
      <c r="I46" s="112">
        <v>2016</v>
      </c>
      <c r="J46" s="112" t="s">
        <v>311</v>
      </c>
      <c r="K46" s="295" t="s">
        <v>311</v>
      </c>
      <c r="L46" s="183">
        <v>157</v>
      </c>
      <c r="M46" s="118" t="s">
        <v>308</v>
      </c>
      <c r="N46" s="118" t="s">
        <v>298</v>
      </c>
      <c r="O46" s="118" t="s">
        <v>329</v>
      </c>
      <c r="P46" s="196" t="s">
        <v>322</v>
      </c>
      <c r="Q46" s="196" t="s">
        <v>1797</v>
      </c>
      <c r="R46" s="154">
        <v>5</v>
      </c>
      <c r="S46" s="154">
        <v>5</v>
      </c>
      <c r="T46" s="154">
        <v>5</v>
      </c>
      <c r="U46" s="154">
        <v>4</v>
      </c>
      <c r="V46" s="154">
        <v>5</v>
      </c>
      <c r="W46" s="154">
        <v>5</v>
      </c>
      <c r="X46" s="154">
        <v>5</v>
      </c>
      <c r="Y46" s="154" t="s">
        <v>92</v>
      </c>
      <c r="Z46" s="154">
        <v>5</v>
      </c>
      <c r="AA46" s="154">
        <v>5</v>
      </c>
      <c r="AB46" s="296">
        <f t="shared" si="21"/>
        <v>98.94736842105263</v>
      </c>
      <c r="AC46" s="297">
        <f>L46*AC$2</f>
        <v>392500</v>
      </c>
      <c r="AD46" s="301">
        <f t="shared" si="22"/>
        <v>1962.5</v>
      </c>
      <c r="AE46" s="298"/>
      <c r="AJ46" s="108">
        <f t="shared" si="54"/>
        <v>0</v>
      </c>
      <c r="AK46" s="108">
        <f t="shared" si="54"/>
        <v>0</v>
      </c>
      <c r="AL46" s="108">
        <f t="shared" si="54"/>
        <v>0</v>
      </c>
      <c r="AM46" s="108">
        <f t="shared" si="54"/>
        <v>0</v>
      </c>
      <c r="AN46" s="108">
        <f t="shared" si="54"/>
        <v>0</v>
      </c>
      <c r="AO46" s="108">
        <f t="shared" si="54"/>
        <v>0</v>
      </c>
      <c r="AP46" s="108">
        <f t="shared" si="54"/>
        <v>0</v>
      </c>
      <c r="AQ46" s="108">
        <f t="shared" si="54"/>
        <v>0</v>
      </c>
      <c r="AR46" s="108">
        <f t="shared" si="54"/>
        <v>0</v>
      </c>
      <c r="AX46" s="108">
        <f t="shared" si="1"/>
        <v>5</v>
      </c>
      <c r="AY46" s="108">
        <f t="shared" si="2"/>
        <v>5</v>
      </c>
      <c r="AZ46" s="108">
        <f t="shared" si="3"/>
        <v>5</v>
      </c>
      <c r="BA46" s="108">
        <f t="shared" si="4"/>
        <v>4</v>
      </c>
      <c r="BB46" s="108">
        <f t="shared" si="5"/>
        <v>5</v>
      </c>
      <c r="BC46" s="108">
        <f t="shared" si="6"/>
        <v>5</v>
      </c>
      <c r="BD46" s="108">
        <f t="shared" si="7"/>
        <v>5</v>
      </c>
      <c r="BE46" s="108">
        <f t="shared" si="8"/>
        <v>0</v>
      </c>
      <c r="BF46" s="108">
        <f t="shared" si="9"/>
        <v>5</v>
      </c>
      <c r="BG46" s="108">
        <f t="shared" si="10"/>
        <v>5</v>
      </c>
      <c r="BH46" s="108">
        <f t="shared" si="23"/>
        <v>94</v>
      </c>
      <c r="BJ46" s="108">
        <f t="shared" si="11"/>
        <v>5</v>
      </c>
      <c r="BK46" s="108">
        <f t="shared" si="12"/>
        <v>5</v>
      </c>
      <c r="BL46" s="108">
        <f t="shared" si="13"/>
        <v>5</v>
      </c>
      <c r="BM46" s="108">
        <f t="shared" si="14"/>
        <v>5</v>
      </c>
      <c r="BN46" s="108">
        <f t="shared" si="15"/>
        <v>5</v>
      </c>
      <c r="BO46" s="108">
        <f t="shared" si="16"/>
        <v>5</v>
      </c>
      <c r="BP46" s="108">
        <f t="shared" si="17"/>
        <v>5</v>
      </c>
      <c r="BQ46" s="108">
        <f t="shared" si="18"/>
        <v>0</v>
      </c>
      <c r="BR46" s="108">
        <f t="shared" si="19"/>
        <v>5</v>
      </c>
      <c r="BS46" s="108">
        <f t="shared" si="20"/>
        <v>5</v>
      </c>
      <c r="BT46" s="108">
        <f t="shared" si="24"/>
        <v>95</v>
      </c>
    </row>
    <row r="47" spans="1:72" ht="25" customHeight="1" x14ac:dyDescent="0.3">
      <c r="A47" s="185"/>
      <c r="B47" s="116" t="s">
        <v>1798</v>
      </c>
      <c r="C47" s="126" t="s">
        <v>1799</v>
      </c>
      <c r="D47" s="124" t="s">
        <v>1795</v>
      </c>
      <c r="E47" s="181" t="s">
        <v>602</v>
      </c>
      <c r="F47" s="310"/>
      <c r="G47" s="310"/>
      <c r="H47" s="295" t="s">
        <v>331</v>
      </c>
      <c r="I47" s="112"/>
      <c r="J47" s="112" t="s">
        <v>311</v>
      </c>
      <c r="K47" s="295" t="s">
        <v>311</v>
      </c>
      <c r="L47" s="183">
        <v>89</v>
      </c>
      <c r="M47" s="118" t="s">
        <v>308</v>
      </c>
      <c r="N47" s="118" t="s">
        <v>298</v>
      </c>
      <c r="O47" s="118" t="s">
        <v>329</v>
      </c>
      <c r="P47" s="196" t="s">
        <v>322</v>
      </c>
      <c r="Q47" s="196" t="s">
        <v>309</v>
      </c>
      <c r="R47" s="154">
        <v>3</v>
      </c>
      <c r="S47" s="154">
        <v>4</v>
      </c>
      <c r="T47" s="154">
        <v>3</v>
      </c>
      <c r="U47" s="154">
        <v>3</v>
      </c>
      <c r="V47" s="154">
        <v>3</v>
      </c>
      <c r="W47" s="154">
        <v>3</v>
      </c>
      <c r="X47" s="154">
        <v>5</v>
      </c>
      <c r="Y47" s="154" t="s">
        <v>92</v>
      </c>
      <c r="Z47" s="154">
        <v>5</v>
      </c>
      <c r="AA47" s="154">
        <v>5</v>
      </c>
      <c r="AB47" s="296">
        <f t="shared" si="21"/>
        <v>77.89473684210526</v>
      </c>
      <c r="AC47" s="297">
        <f>L47*AC$2</f>
        <v>222500</v>
      </c>
      <c r="AD47" s="301">
        <f t="shared" si="22"/>
        <v>1112.5</v>
      </c>
      <c r="AE47" s="298"/>
      <c r="AJ47" s="108">
        <f t="shared" si="54"/>
        <v>0</v>
      </c>
      <c r="AK47" s="108">
        <f t="shared" si="54"/>
        <v>0</v>
      </c>
      <c r="AL47" s="108">
        <f t="shared" si="54"/>
        <v>0</v>
      </c>
      <c r="AM47" s="108">
        <f t="shared" si="54"/>
        <v>0</v>
      </c>
      <c r="AN47" s="108">
        <f t="shared" si="54"/>
        <v>0</v>
      </c>
      <c r="AO47" s="108">
        <f t="shared" si="54"/>
        <v>0</v>
      </c>
      <c r="AP47" s="108">
        <f t="shared" si="54"/>
        <v>0</v>
      </c>
      <c r="AQ47" s="108">
        <f t="shared" si="54"/>
        <v>0</v>
      </c>
      <c r="AR47" s="108">
        <f t="shared" si="54"/>
        <v>0</v>
      </c>
      <c r="AX47" s="108">
        <f t="shared" si="1"/>
        <v>3</v>
      </c>
      <c r="AY47" s="108">
        <f t="shared" si="2"/>
        <v>4</v>
      </c>
      <c r="AZ47" s="108">
        <f t="shared" si="3"/>
        <v>3</v>
      </c>
      <c r="BA47" s="108">
        <f t="shared" si="4"/>
        <v>3</v>
      </c>
      <c r="BB47" s="108">
        <f t="shared" si="5"/>
        <v>3</v>
      </c>
      <c r="BC47" s="108">
        <f t="shared" si="6"/>
        <v>3</v>
      </c>
      <c r="BD47" s="108">
        <f t="shared" si="7"/>
        <v>5</v>
      </c>
      <c r="BE47" s="108">
        <f t="shared" si="8"/>
        <v>0</v>
      </c>
      <c r="BF47" s="108">
        <f t="shared" si="9"/>
        <v>5</v>
      </c>
      <c r="BG47" s="108">
        <f t="shared" si="10"/>
        <v>5</v>
      </c>
      <c r="BH47" s="108">
        <f t="shared" si="23"/>
        <v>74</v>
      </c>
      <c r="BJ47" s="108">
        <f t="shared" si="11"/>
        <v>5</v>
      </c>
      <c r="BK47" s="108">
        <f t="shared" si="12"/>
        <v>5</v>
      </c>
      <c r="BL47" s="108">
        <f t="shared" si="13"/>
        <v>5</v>
      </c>
      <c r="BM47" s="108">
        <f t="shared" si="14"/>
        <v>5</v>
      </c>
      <c r="BN47" s="108">
        <f t="shared" si="15"/>
        <v>5</v>
      </c>
      <c r="BO47" s="108">
        <f t="shared" si="16"/>
        <v>5</v>
      </c>
      <c r="BP47" s="108">
        <f t="shared" si="17"/>
        <v>5</v>
      </c>
      <c r="BQ47" s="108">
        <f t="shared" si="18"/>
        <v>0</v>
      </c>
      <c r="BR47" s="108">
        <f t="shared" si="19"/>
        <v>5</v>
      </c>
      <c r="BS47" s="108">
        <f t="shared" si="20"/>
        <v>5</v>
      </c>
      <c r="BT47" s="108">
        <f t="shared" si="24"/>
        <v>95</v>
      </c>
    </row>
    <row r="48" spans="1:72" ht="25" customHeight="1" x14ac:dyDescent="0.3">
      <c r="A48" s="185"/>
      <c r="B48" s="116" t="s">
        <v>1800</v>
      </c>
      <c r="C48" s="126" t="s">
        <v>1801</v>
      </c>
      <c r="D48" s="124" t="s">
        <v>1795</v>
      </c>
      <c r="E48" s="181" t="s">
        <v>626</v>
      </c>
      <c r="F48" s="310">
        <f>7+26/60+3/3600</f>
        <v>7.434166666666667</v>
      </c>
      <c r="G48" s="310">
        <f>134+35/60+41/3600</f>
        <v>134.59472222222223</v>
      </c>
      <c r="H48" s="295" t="s">
        <v>1802</v>
      </c>
      <c r="I48" s="112"/>
      <c r="J48" s="112" t="s">
        <v>311</v>
      </c>
      <c r="K48" s="295" t="s">
        <v>311</v>
      </c>
      <c r="L48" s="183">
        <v>74</v>
      </c>
      <c r="M48" s="118" t="s">
        <v>308</v>
      </c>
      <c r="N48" s="118" t="s">
        <v>158</v>
      </c>
      <c r="O48" s="118" t="s">
        <v>321</v>
      </c>
      <c r="P48" s="118" t="s">
        <v>321</v>
      </c>
      <c r="Q48" s="196" t="s">
        <v>309</v>
      </c>
      <c r="R48" s="154">
        <v>3</v>
      </c>
      <c r="S48" s="154">
        <v>3</v>
      </c>
      <c r="T48" s="154">
        <v>3</v>
      </c>
      <c r="U48" s="154">
        <v>3</v>
      </c>
      <c r="V48" s="154">
        <v>3</v>
      </c>
      <c r="W48" s="154">
        <v>3</v>
      </c>
      <c r="X48" s="154">
        <v>5</v>
      </c>
      <c r="Y48" s="154" t="s">
        <v>92</v>
      </c>
      <c r="Z48" s="154">
        <v>3</v>
      </c>
      <c r="AA48" s="154">
        <v>4</v>
      </c>
      <c r="AB48" s="296">
        <f t="shared" si="21"/>
        <v>66.315789473684205</v>
      </c>
      <c r="AC48" s="297">
        <f>L48*AC$2</f>
        <v>185000</v>
      </c>
      <c r="AD48" s="301">
        <f t="shared" si="22"/>
        <v>925</v>
      </c>
      <c r="AE48" s="298"/>
      <c r="AJ48" s="108">
        <f t="shared" si="54"/>
        <v>0</v>
      </c>
      <c r="AK48" s="108">
        <f t="shared" si="54"/>
        <v>0</v>
      </c>
      <c r="AL48" s="108">
        <f t="shared" si="54"/>
        <v>0</v>
      </c>
      <c r="AM48" s="108">
        <f t="shared" si="54"/>
        <v>0</v>
      </c>
      <c r="AN48" s="108">
        <f t="shared" si="54"/>
        <v>0</v>
      </c>
      <c r="AO48" s="108">
        <f t="shared" si="54"/>
        <v>0</v>
      </c>
      <c r="AP48" s="108">
        <f t="shared" si="54"/>
        <v>0</v>
      </c>
      <c r="AQ48" s="108">
        <f t="shared" si="54"/>
        <v>0</v>
      </c>
      <c r="AR48" s="108">
        <f t="shared" si="54"/>
        <v>0</v>
      </c>
      <c r="AX48" s="108">
        <f t="shared" si="1"/>
        <v>3</v>
      </c>
      <c r="AY48" s="108">
        <f t="shared" si="2"/>
        <v>3</v>
      </c>
      <c r="AZ48" s="108">
        <f t="shared" si="3"/>
        <v>3</v>
      </c>
      <c r="BA48" s="108">
        <f t="shared" si="4"/>
        <v>3</v>
      </c>
      <c r="BB48" s="108">
        <f t="shared" si="5"/>
        <v>3</v>
      </c>
      <c r="BC48" s="108">
        <f t="shared" si="6"/>
        <v>3</v>
      </c>
      <c r="BD48" s="108">
        <f t="shared" si="7"/>
        <v>5</v>
      </c>
      <c r="BE48" s="108">
        <f t="shared" si="8"/>
        <v>0</v>
      </c>
      <c r="BF48" s="108">
        <f t="shared" si="9"/>
        <v>3</v>
      </c>
      <c r="BG48" s="108">
        <f t="shared" si="10"/>
        <v>4</v>
      </c>
      <c r="BH48" s="108">
        <f t="shared" si="23"/>
        <v>63</v>
      </c>
      <c r="BJ48" s="108">
        <f t="shared" si="11"/>
        <v>5</v>
      </c>
      <c r="BK48" s="108">
        <f t="shared" si="12"/>
        <v>5</v>
      </c>
      <c r="BL48" s="108">
        <f t="shared" si="13"/>
        <v>5</v>
      </c>
      <c r="BM48" s="108">
        <f t="shared" si="14"/>
        <v>5</v>
      </c>
      <c r="BN48" s="108">
        <f t="shared" si="15"/>
        <v>5</v>
      </c>
      <c r="BO48" s="108">
        <f t="shared" si="16"/>
        <v>5</v>
      </c>
      <c r="BP48" s="108">
        <f t="shared" si="17"/>
        <v>5</v>
      </c>
      <c r="BQ48" s="108">
        <f t="shared" si="18"/>
        <v>0</v>
      </c>
      <c r="BR48" s="108">
        <f t="shared" si="19"/>
        <v>5</v>
      </c>
      <c r="BS48" s="108">
        <f t="shared" si="20"/>
        <v>5</v>
      </c>
      <c r="BT48" s="108">
        <f t="shared" si="24"/>
        <v>95</v>
      </c>
    </row>
    <row r="49" spans="1:72" ht="25" customHeight="1" x14ac:dyDescent="0.3">
      <c r="A49" s="185"/>
      <c r="B49" s="116" t="s">
        <v>1803</v>
      </c>
      <c r="C49" s="126" t="s">
        <v>1804</v>
      </c>
      <c r="D49" s="124" t="s">
        <v>1795</v>
      </c>
      <c r="E49" s="181" t="s">
        <v>602</v>
      </c>
      <c r="F49" s="310"/>
      <c r="G49" s="310"/>
      <c r="H49" s="295"/>
      <c r="I49" s="112"/>
      <c r="J49" s="112" t="s">
        <v>311</v>
      </c>
      <c r="K49" s="295" t="s">
        <v>311</v>
      </c>
      <c r="L49" s="183">
        <v>137</v>
      </c>
      <c r="M49" s="118"/>
      <c r="N49" s="118"/>
      <c r="O49" s="118"/>
      <c r="P49" s="118"/>
      <c r="Q49" s="196"/>
      <c r="R49" s="154">
        <v>3</v>
      </c>
      <c r="S49" s="154">
        <v>4</v>
      </c>
      <c r="T49" s="154">
        <v>4</v>
      </c>
      <c r="U49" s="154">
        <v>4</v>
      </c>
      <c r="V49" s="154">
        <v>4</v>
      </c>
      <c r="W49" s="154">
        <v>4</v>
      </c>
      <c r="X49" s="154">
        <v>4</v>
      </c>
      <c r="Y49" s="154" t="s">
        <v>92</v>
      </c>
      <c r="Z49" s="154">
        <v>4</v>
      </c>
      <c r="AA49" s="154">
        <v>5</v>
      </c>
      <c r="AB49" s="296">
        <f t="shared" si="21"/>
        <v>81.05263157894737</v>
      </c>
      <c r="AC49" s="297">
        <f>L49*AC$2</f>
        <v>342500</v>
      </c>
      <c r="AD49" s="301">
        <f t="shared" si="22"/>
        <v>1712.5</v>
      </c>
      <c r="AE49" s="463" t="s">
        <v>1795</v>
      </c>
      <c r="AF49" s="463"/>
      <c r="AJ49" s="108">
        <f t="shared" si="54"/>
        <v>0</v>
      </c>
      <c r="AK49" s="108">
        <f t="shared" si="54"/>
        <v>0</v>
      </c>
      <c r="AL49" s="108">
        <f t="shared" si="54"/>
        <v>0</v>
      </c>
      <c r="AM49" s="108">
        <f t="shared" si="54"/>
        <v>0</v>
      </c>
      <c r="AN49" s="108">
        <f t="shared" si="54"/>
        <v>0</v>
      </c>
      <c r="AO49" s="108">
        <f t="shared" si="54"/>
        <v>0</v>
      </c>
      <c r="AP49" s="108">
        <f t="shared" si="54"/>
        <v>0</v>
      </c>
      <c r="AQ49" s="108">
        <f t="shared" si="54"/>
        <v>0</v>
      </c>
      <c r="AR49" s="108">
        <f t="shared" si="54"/>
        <v>0</v>
      </c>
      <c r="AX49" s="108">
        <f t="shared" si="1"/>
        <v>3</v>
      </c>
      <c r="AY49" s="108">
        <f t="shared" si="2"/>
        <v>4</v>
      </c>
      <c r="AZ49" s="108">
        <f t="shared" si="3"/>
        <v>4</v>
      </c>
      <c r="BA49" s="108">
        <f t="shared" si="4"/>
        <v>4</v>
      </c>
      <c r="BB49" s="108">
        <f t="shared" si="5"/>
        <v>4</v>
      </c>
      <c r="BC49" s="108">
        <f t="shared" si="6"/>
        <v>4</v>
      </c>
      <c r="BD49" s="108">
        <f t="shared" si="7"/>
        <v>4</v>
      </c>
      <c r="BE49" s="108">
        <f t="shared" si="8"/>
        <v>0</v>
      </c>
      <c r="BF49" s="108">
        <f t="shared" si="9"/>
        <v>4</v>
      </c>
      <c r="BG49" s="108">
        <f t="shared" si="10"/>
        <v>5</v>
      </c>
      <c r="BH49" s="108">
        <f t="shared" si="23"/>
        <v>77</v>
      </c>
      <c r="BJ49" s="108">
        <f t="shared" si="11"/>
        <v>5</v>
      </c>
      <c r="BK49" s="108">
        <f t="shared" si="12"/>
        <v>5</v>
      </c>
      <c r="BL49" s="108">
        <f t="shared" si="13"/>
        <v>5</v>
      </c>
      <c r="BM49" s="108">
        <f t="shared" si="14"/>
        <v>5</v>
      </c>
      <c r="BN49" s="108">
        <f t="shared" si="15"/>
        <v>5</v>
      </c>
      <c r="BO49" s="108">
        <f t="shared" si="16"/>
        <v>5</v>
      </c>
      <c r="BP49" s="108">
        <f t="shared" si="17"/>
        <v>5</v>
      </c>
      <c r="BQ49" s="108">
        <f t="shared" si="18"/>
        <v>0</v>
      </c>
      <c r="BR49" s="108">
        <f t="shared" si="19"/>
        <v>5</v>
      </c>
      <c r="BS49" s="108">
        <f t="shared" si="20"/>
        <v>5</v>
      </c>
      <c r="BT49" s="108">
        <f t="shared" si="24"/>
        <v>95</v>
      </c>
    </row>
    <row r="50" spans="1:72" ht="25" customHeight="1" x14ac:dyDescent="0.3">
      <c r="A50" s="185"/>
      <c r="B50" s="116"/>
      <c r="C50" s="126"/>
      <c r="D50" s="124"/>
      <c r="E50" s="181"/>
      <c r="F50" s="310"/>
      <c r="G50" s="310"/>
      <c r="H50" s="295"/>
      <c r="I50" s="112"/>
      <c r="J50" s="112"/>
      <c r="K50" s="295"/>
      <c r="L50" s="183"/>
      <c r="M50" s="118"/>
      <c r="N50" s="118"/>
      <c r="O50" s="118"/>
      <c r="P50" s="196"/>
      <c r="Q50" s="196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296"/>
      <c r="AC50" s="297"/>
      <c r="AD50" s="301"/>
      <c r="AE50" s="302">
        <f>SUM(AC45:AC49)</f>
        <v>2352500</v>
      </c>
      <c r="AF50" s="302">
        <f>SUM(AD45:AD49)</f>
        <v>11762.5</v>
      </c>
      <c r="AG50" s="303"/>
      <c r="AH50" s="303"/>
      <c r="AI50" s="303"/>
      <c r="AJ50" s="304">
        <f>SUM(AJ45:AJ49)*AJ$2*$AS$1</f>
        <v>0</v>
      </c>
      <c r="AK50" s="304">
        <f t="shared" ref="AK50:AR50" si="55">SUM(AK45:AK49)*AK$2*$AS$1</f>
        <v>0</v>
      </c>
      <c r="AL50" s="304">
        <f t="shared" si="55"/>
        <v>0</v>
      </c>
      <c r="AM50" s="304">
        <f t="shared" si="55"/>
        <v>0</v>
      </c>
      <c r="AN50" s="304">
        <f t="shared" si="55"/>
        <v>0</v>
      </c>
      <c r="AO50" s="304">
        <f t="shared" si="55"/>
        <v>0</v>
      </c>
      <c r="AP50" s="304">
        <f t="shared" si="55"/>
        <v>0</v>
      </c>
      <c r="AQ50" s="304">
        <f t="shared" si="55"/>
        <v>0</v>
      </c>
      <c r="AR50" s="304">
        <f t="shared" si="55"/>
        <v>0</v>
      </c>
      <c r="AS50" s="305">
        <f>SUM(AJ50:AR50)</f>
        <v>0</v>
      </c>
      <c r="AX50" s="108">
        <f t="shared" si="1"/>
        <v>0</v>
      </c>
      <c r="AY50" s="108">
        <f t="shared" si="2"/>
        <v>0</v>
      </c>
      <c r="AZ50" s="108">
        <f t="shared" si="3"/>
        <v>0</v>
      </c>
      <c r="BA50" s="108">
        <f t="shared" si="4"/>
        <v>0</v>
      </c>
      <c r="BB50" s="108">
        <f t="shared" si="5"/>
        <v>0</v>
      </c>
      <c r="BC50" s="108">
        <f t="shared" si="6"/>
        <v>0</v>
      </c>
      <c r="BD50" s="108">
        <f t="shared" si="7"/>
        <v>0</v>
      </c>
      <c r="BE50" s="108">
        <f t="shared" si="8"/>
        <v>0</v>
      </c>
      <c r="BF50" s="108">
        <f t="shared" si="9"/>
        <v>0</v>
      </c>
      <c r="BG50" s="108">
        <f t="shared" si="10"/>
        <v>0</v>
      </c>
      <c r="BH50" s="108">
        <f t="shared" si="23"/>
        <v>0</v>
      </c>
      <c r="BJ50" s="108">
        <f t="shared" si="11"/>
        <v>0</v>
      </c>
      <c r="BK50" s="108">
        <f t="shared" si="12"/>
        <v>0</v>
      </c>
      <c r="BL50" s="108">
        <f t="shared" si="13"/>
        <v>0</v>
      </c>
      <c r="BM50" s="108">
        <f t="shared" si="14"/>
        <v>0</v>
      </c>
      <c r="BN50" s="108">
        <f t="shared" si="15"/>
        <v>0</v>
      </c>
      <c r="BO50" s="108">
        <f t="shared" si="16"/>
        <v>0</v>
      </c>
      <c r="BP50" s="108">
        <f t="shared" si="17"/>
        <v>0</v>
      </c>
      <c r="BQ50" s="108">
        <f t="shared" si="18"/>
        <v>0</v>
      </c>
      <c r="BR50" s="108">
        <f t="shared" si="19"/>
        <v>0</v>
      </c>
      <c r="BS50" s="108">
        <f t="shared" si="20"/>
        <v>0</v>
      </c>
      <c r="BT50" s="108">
        <f t="shared" si="24"/>
        <v>0</v>
      </c>
    </row>
    <row r="51" spans="1:72" ht="25" customHeight="1" x14ac:dyDescent="0.3">
      <c r="A51" s="185"/>
      <c r="B51" s="116" t="s">
        <v>390</v>
      </c>
      <c r="C51" s="126" t="s">
        <v>306</v>
      </c>
      <c r="D51" s="124" t="s">
        <v>316</v>
      </c>
      <c r="E51" s="116" t="s">
        <v>273</v>
      </c>
      <c r="F51" s="111">
        <f>7+31.478672/60</f>
        <v>7.5246445333333334</v>
      </c>
      <c r="G51" s="111">
        <f>134+29.962037/60</f>
        <v>134.49936728333333</v>
      </c>
      <c r="H51" s="295" t="s">
        <v>307</v>
      </c>
      <c r="I51" s="112" t="s">
        <v>502</v>
      </c>
      <c r="J51" s="112" t="s">
        <v>311</v>
      </c>
      <c r="K51" s="295" t="s">
        <v>311</v>
      </c>
      <c r="L51" s="117">
        <v>78</v>
      </c>
      <c r="M51" s="118" t="s">
        <v>308</v>
      </c>
      <c r="N51" s="118" t="s">
        <v>298</v>
      </c>
      <c r="O51" s="118" t="s">
        <v>310</v>
      </c>
      <c r="P51" s="196" t="s">
        <v>298</v>
      </c>
      <c r="Q51" s="118" t="s">
        <v>309</v>
      </c>
      <c r="R51" s="154">
        <v>5</v>
      </c>
      <c r="S51" s="154">
        <v>4</v>
      </c>
      <c r="T51" s="154">
        <v>4</v>
      </c>
      <c r="U51" s="154">
        <v>4</v>
      </c>
      <c r="V51" s="154">
        <v>4</v>
      </c>
      <c r="W51" s="154">
        <v>3</v>
      </c>
      <c r="X51" s="154">
        <v>3</v>
      </c>
      <c r="Y51" s="154" t="s">
        <v>92</v>
      </c>
      <c r="Z51" s="154">
        <v>3</v>
      </c>
      <c r="AA51" s="154">
        <v>4</v>
      </c>
      <c r="AB51" s="296">
        <f t="shared" si="21"/>
        <v>80</v>
      </c>
      <c r="AC51" s="297">
        <f t="shared" ref="AC51:AC57" si="56">L51*AC$2</f>
        <v>195000</v>
      </c>
      <c r="AD51" s="301">
        <f t="shared" si="22"/>
        <v>975</v>
      </c>
      <c r="AE51" s="298"/>
      <c r="AJ51" s="108">
        <f t="shared" ref="AJ51:AR57" si="57">IF(OR(R51=1,R51=2),$L51,0)</f>
        <v>0</v>
      </c>
      <c r="AK51" s="108">
        <f t="shared" si="57"/>
        <v>0</v>
      </c>
      <c r="AL51" s="108">
        <f t="shared" si="57"/>
        <v>0</v>
      </c>
      <c r="AM51" s="108">
        <f t="shared" si="57"/>
        <v>0</v>
      </c>
      <c r="AN51" s="108">
        <f t="shared" si="57"/>
        <v>0</v>
      </c>
      <c r="AO51" s="108">
        <f t="shared" si="57"/>
        <v>0</v>
      </c>
      <c r="AP51" s="108">
        <f t="shared" si="57"/>
        <v>0</v>
      </c>
      <c r="AQ51" s="108">
        <f t="shared" si="57"/>
        <v>0</v>
      </c>
      <c r="AR51" s="108">
        <f t="shared" si="57"/>
        <v>0</v>
      </c>
      <c r="AX51" s="108">
        <f t="shared" si="1"/>
        <v>5</v>
      </c>
      <c r="AY51" s="108">
        <f t="shared" si="2"/>
        <v>4</v>
      </c>
      <c r="AZ51" s="108">
        <f t="shared" si="3"/>
        <v>4</v>
      </c>
      <c r="BA51" s="108">
        <f t="shared" si="4"/>
        <v>4</v>
      </c>
      <c r="BB51" s="108">
        <f t="shared" si="5"/>
        <v>4</v>
      </c>
      <c r="BC51" s="108">
        <f t="shared" si="6"/>
        <v>3</v>
      </c>
      <c r="BD51" s="108">
        <f t="shared" si="7"/>
        <v>3</v>
      </c>
      <c r="BE51" s="108">
        <f t="shared" si="8"/>
        <v>0</v>
      </c>
      <c r="BF51" s="108">
        <f t="shared" si="9"/>
        <v>3</v>
      </c>
      <c r="BG51" s="108">
        <f t="shared" si="10"/>
        <v>4</v>
      </c>
      <c r="BH51" s="108">
        <f t="shared" si="23"/>
        <v>76</v>
      </c>
      <c r="BJ51" s="108">
        <f t="shared" si="11"/>
        <v>5</v>
      </c>
      <c r="BK51" s="108">
        <f t="shared" si="12"/>
        <v>5</v>
      </c>
      <c r="BL51" s="108">
        <f t="shared" si="13"/>
        <v>5</v>
      </c>
      <c r="BM51" s="108">
        <f t="shared" si="14"/>
        <v>5</v>
      </c>
      <c r="BN51" s="108">
        <f t="shared" si="15"/>
        <v>5</v>
      </c>
      <c r="BO51" s="108">
        <f t="shared" si="16"/>
        <v>5</v>
      </c>
      <c r="BP51" s="108">
        <f t="shared" si="17"/>
        <v>5</v>
      </c>
      <c r="BQ51" s="108">
        <f t="shared" si="18"/>
        <v>0</v>
      </c>
      <c r="BR51" s="108">
        <f t="shared" si="19"/>
        <v>5</v>
      </c>
      <c r="BS51" s="108">
        <f t="shared" si="20"/>
        <v>5</v>
      </c>
      <c r="BT51" s="108">
        <f t="shared" si="24"/>
        <v>95</v>
      </c>
    </row>
    <row r="52" spans="1:72" ht="25" customHeight="1" x14ac:dyDescent="0.3">
      <c r="A52" s="185"/>
      <c r="B52" s="116" t="s">
        <v>391</v>
      </c>
      <c r="C52" s="126" t="s">
        <v>312</v>
      </c>
      <c r="D52" s="124" t="s">
        <v>316</v>
      </c>
      <c r="E52" s="116" t="s">
        <v>273</v>
      </c>
      <c r="F52" s="111">
        <f>7+31.478672/60</f>
        <v>7.5246445333333334</v>
      </c>
      <c r="G52" s="111">
        <f>134+29.962037/60</f>
        <v>134.49936728333333</v>
      </c>
      <c r="H52" s="295" t="s">
        <v>325</v>
      </c>
      <c r="I52" s="112">
        <v>2003</v>
      </c>
      <c r="J52" s="112">
        <v>2019</v>
      </c>
      <c r="K52" s="295" t="s">
        <v>313</v>
      </c>
      <c r="L52" s="117">
        <v>265</v>
      </c>
      <c r="M52" s="118" t="s">
        <v>308</v>
      </c>
      <c r="N52" s="118" t="s">
        <v>314</v>
      </c>
      <c r="O52" s="118" t="s">
        <v>321</v>
      </c>
      <c r="P52" s="196" t="s">
        <v>319</v>
      </c>
      <c r="Q52" s="118" t="s">
        <v>309</v>
      </c>
      <c r="R52" s="154">
        <v>4</v>
      </c>
      <c r="S52" s="154">
        <v>4</v>
      </c>
      <c r="T52" s="154">
        <v>4</v>
      </c>
      <c r="U52" s="154">
        <v>5</v>
      </c>
      <c r="V52" s="154">
        <v>4</v>
      </c>
      <c r="W52" s="154" t="s">
        <v>311</v>
      </c>
      <c r="X52" s="154">
        <v>3</v>
      </c>
      <c r="Y52" s="154" t="s">
        <v>92</v>
      </c>
      <c r="Z52" s="154">
        <v>3</v>
      </c>
      <c r="AA52" s="154">
        <v>4</v>
      </c>
      <c r="AB52" s="296">
        <f t="shared" si="21"/>
        <v>78.888888888888886</v>
      </c>
      <c r="AC52" s="297">
        <f t="shared" si="56"/>
        <v>662500</v>
      </c>
      <c r="AD52" s="301">
        <f t="shared" si="22"/>
        <v>3312.5</v>
      </c>
      <c r="AE52" s="298"/>
      <c r="AJ52" s="108">
        <f t="shared" si="57"/>
        <v>0</v>
      </c>
      <c r="AK52" s="108">
        <f t="shared" si="57"/>
        <v>0</v>
      </c>
      <c r="AL52" s="108">
        <f t="shared" si="57"/>
        <v>0</v>
      </c>
      <c r="AM52" s="108">
        <f t="shared" si="57"/>
        <v>0</v>
      </c>
      <c r="AN52" s="108">
        <f t="shared" si="57"/>
        <v>0</v>
      </c>
      <c r="AO52" s="108">
        <f t="shared" si="57"/>
        <v>0</v>
      </c>
      <c r="AP52" s="108">
        <f t="shared" si="57"/>
        <v>0</v>
      </c>
      <c r="AQ52" s="108">
        <f t="shared" si="57"/>
        <v>0</v>
      </c>
      <c r="AR52" s="108">
        <f t="shared" si="57"/>
        <v>0</v>
      </c>
      <c r="AX52" s="108">
        <f t="shared" si="1"/>
        <v>4</v>
      </c>
      <c r="AY52" s="108">
        <f t="shared" si="2"/>
        <v>4</v>
      </c>
      <c r="AZ52" s="108">
        <f t="shared" si="3"/>
        <v>4</v>
      </c>
      <c r="BA52" s="108">
        <f t="shared" si="4"/>
        <v>5</v>
      </c>
      <c r="BB52" s="108">
        <f t="shared" si="5"/>
        <v>4</v>
      </c>
      <c r="BC52" s="108">
        <f t="shared" si="6"/>
        <v>0</v>
      </c>
      <c r="BD52" s="108">
        <f t="shared" si="7"/>
        <v>3</v>
      </c>
      <c r="BE52" s="108">
        <f t="shared" si="8"/>
        <v>0</v>
      </c>
      <c r="BF52" s="108">
        <f t="shared" si="9"/>
        <v>3</v>
      </c>
      <c r="BG52" s="108">
        <f t="shared" si="10"/>
        <v>4</v>
      </c>
      <c r="BH52" s="108">
        <f t="shared" si="23"/>
        <v>71</v>
      </c>
      <c r="BJ52" s="108">
        <f t="shared" si="11"/>
        <v>5</v>
      </c>
      <c r="BK52" s="108">
        <f t="shared" si="12"/>
        <v>5</v>
      </c>
      <c r="BL52" s="108">
        <f t="shared" si="13"/>
        <v>5</v>
      </c>
      <c r="BM52" s="108">
        <f t="shared" si="14"/>
        <v>5</v>
      </c>
      <c r="BN52" s="108">
        <f t="shared" si="15"/>
        <v>5</v>
      </c>
      <c r="BO52" s="108">
        <f t="shared" si="16"/>
        <v>0</v>
      </c>
      <c r="BP52" s="108">
        <f t="shared" si="17"/>
        <v>5</v>
      </c>
      <c r="BQ52" s="108">
        <f t="shared" si="18"/>
        <v>0</v>
      </c>
      <c r="BR52" s="108">
        <f t="shared" si="19"/>
        <v>5</v>
      </c>
      <c r="BS52" s="108">
        <f t="shared" si="20"/>
        <v>5</v>
      </c>
      <c r="BT52" s="108">
        <f t="shared" si="24"/>
        <v>90</v>
      </c>
    </row>
    <row r="53" spans="1:72" ht="25" customHeight="1" x14ac:dyDescent="0.3">
      <c r="A53" s="185"/>
      <c r="B53" s="116" t="s">
        <v>392</v>
      </c>
      <c r="C53" s="126" t="s">
        <v>315</v>
      </c>
      <c r="D53" s="124" t="s">
        <v>316</v>
      </c>
      <c r="E53" s="116" t="s">
        <v>273</v>
      </c>
      <c r="F53" s="111">
        <f>7+31.406135/60</f>
        <v>7.5234355833333328</v>
      </c>
      <c r="G53" s="111">
        <f>134+30.02112/60</f>
        <v>134.50035199999999</v>
      </c>
      <c r="H53" s="295" t="s">
        <v>326</v>
      </c>
      <c r="I53" s="112" t="s">
        <v>502</v>
      </c>
      <c r="J53" s="112">
        <v>2019</v>
      </c>
      <c r="K53" s="295" t="s">
        <v>313</v>
      </c>
      <c r="L53" s="117">
        <v>158</v>
      </c>
      <c r="M53" s="118" t="s">
        <v>318</v>
      </c>
      <c r="N53" s="118" t="s">
        <v>314</v>
      </c>
      <c r="O53" s="118" t="s">
        <v>320</v>
      </c>
      <c r="P53" s="196" t="s">
        <v>322</v>
      </c>
      <c r="Q53" s="118" t="s">
        <v>309</v>
      </c>
      <c r="R53" s="154">
        <v>5</v>
      </c>
      <c r="S53" s="154">
        <v>5</v>
      </c>
      <c r="T53" s="154">
        <v>5</v>
      </c>
      <c r="U53" s="154">
        <v>5</v>
      </c>
      <c r="V53" s="154">
        <v>5</v>
      </c>
      <c r="W53" s="154">
        <v>4</v>
      </c>
      <c r="X53" s="154">
        <v>4</v>
      </c>
      <c r="Y53" s="154" t="s">
        <v>92</v>
      </c>
      <c r="Z53" s="154">
        <v>4</v>
      </c>
      <c r="AA53" s="154">
        <v>5</v>
      </c>
      <c r="AB53" s="296">
        <f t="shared" si="21"/>
        <v>96.84210526315789</v>
      </c>
      <c r="AC53" s="297">
        <f t="shared" si="56"/>
        <v>395000</v>
      </c>
      <c r="AD53" s="301">
        <f t="shared" si="22"/>
        <v>1975</v>
      </c>
      <c r="AE53" s="298"/>
      <c r="AJ53" s="108">
        <f t="shared" si="57"/>
        <v>0</v>
      </c>
      <c r="AK53" s="108">
        <f t="shared" si="57"/>
        <v>0</v>
      </c>
      <c r="AL53" s="108">
        <f t="shared" si="57"/>
        <v>0</v>
      </c>
      <c r="AM53" s="108">
        <f t="shared" si="57"/>
        <v>0</v>
      </c>
      <c r="AN53" s="108">
        <f t="shared" si="57"/>
        <v>0</v>
      </c>
      <c r="AO53" s="108">
        <f t="shared" si="57"/>
        <v>0</v>
      </c>
      <c r="AP53" s="108">
        <f t="shared" si="57"/>
        <v>0</v>
      </c>
      <c r="AQ53" s="108">
        <f t="shared" si="57"/>
        <v>0</v>
      </c>
      <c r="AR53" s="108">
        <f t="shared" si="57"/>
        <v>0</v>
      </c>
      <c r="AX53" s="108">
        <f t="shared" si="1"/>
        <v>5</v>
      </c>
      <c r="AY53" s="108">
        <f t="shared" si="2"/>
        <v>5</v>
      </c>
      <c r="AZ53" s="108">
        <f t="shared" si="3"/>
        <v>5</v>
      </c>
      <c r="BA53" s="108">
        <f t="shared" si="4"/>
        <v>5</v>
      </c>
      <c r="BB53" s="108">
        <f t="shared" si="5"/>
        <v>5</v>
      </c>
      <c r="BC53" s="108">
        <f t="shared" si="6"/>
        <v>4</v>
      </c>
      <c r="BD53" s="108">
        <f t="shared" si="7"/>
        <v>4</v>
      </c>
      <c r="BE53" s="108">
        <f t="shared" si="8"/>
        <v>0</v>
      </c>
      <c r="BF53" s="108">
        <f t="shared" si="9"/>
        <v>4</v>
      </c>
      <c r="BG53" s="108">
        <f t="shared" si="10"/>
        <v>5</v>
      </c>
      <c r="BH53" s="108">
        <f t="shared" si="23"/>
        <v>92</v>
      </c>
      <c r="BJ53" s="108">
        <f t="shared" si="11"/>
        <v>5</v>
      </c>
      <c r="BK53" s="108">
        <f t="shared" si="12"/>
        <v>5</v>
      </c>
      <c r="BL53" s="108">
        <f t="shared" si="13"/>
        <v>5</v>
      </c>
      <c r="BM53" s="108">
        <f t="shared" si="14"/>
        <v>5</v>
      </c>
      <c r="BN53" s="108">
        <f t="shared" si="15"/>
        <v>5</v>
      </c>
      <c r="BO53" s="108">
        <f t="shared" si="16"/>
        <v>5</v>
      </c>
      <c r="BP53" s="108">
        <f t="shared" si="17"/>
        <v>5</v>
      </c>
      <c r="BQ53" s="108">
        <f t="shared" si="18"/>
        <v>0</v>
      </c>
      <c r="BR53" s="108">
        <f t="shared" si="19"/>
        <v>5</v>
      </c>
      <c r="BS53" s="108">
        <f t="shared" si="20"/>
        <v>5</v>
      </c>
      <c r="BT53" s="108">
        <f t="shared" si="24"/>
        <v>95</v>
      </c>
    </row>
    <row r="54" spans="1:72" ht="25" customHeight="1" x14ac:dyDescent="0.3">
      <c r="A54" s="185"/>
      <c r="B54" s="116" t="s">
        <v>393</v>
      </c>
      <c r="C54" s="126" t="s">
        <v>1805</v>
      </c>
      <c r="D54" s="124" t="s">
        <v>316</v>
      </c>
      <c r="E54" s="116" t="s">
        <v>273</v>
      </c>
      <c r="F54" s="111">
        <f>7+31.32002/60</f>
        <v>7.5220003333333336</v>
      </c>
      <c r="G54" s="111">
        <f>134+30.21423/60</f>
        <v>134.5035705</v>
      </c>
      <c r="H54" s="295" t="s">
        <v>326</v>
      </c>
      <c r="I54" s="112">
        <v>1946</v>
      </c>
      <c r="J54" s="112">
        <v>2008</v>
      </c>
      <c r="K54" s="295" t="s">
        <v>1806</v>
      </c>
      <c r="L54" s="117">
        <v>270</v>
      </c>
      <c r="M54" s="118" t="s">
        <v>308</v>
      </c>
      <c r="N54" s="118" t="s">
        <v>314</v>
      </c>
      <c r="O54" s="118" t="s">
        <v>321</v>
      </c>
      <c r="P54" s="196" t="s">
        <v>322</v>
      </c>
      <c r="Q54" s="118" t="s">
        <v>309</v>
      </c>
      <c r="R54" s="154">
        <v>2</v>
      </c>
      <c r="S54" s="154">
        <v>3</v>
      </c>
      <c r="T54" s="154">
        <v>2</v>
      </c>
      <c r="U54" s="154">
        <v>3</v>
      </c>
      <c r="V54" s="154">
        <v>3</v>
      </c>
      <c r="W54" s="154" t="s">
        <v>311</v>
      </c>
      <c r="X54" s="154" t="s">
        <v>92</v>
      </c>
      <c r="Y54" s="154" t="s">
        <v>92</v>
      </c>
      <c r="Z54" s="154">
        <v>2</v>
      </c>
      <c r="AA54" s="154">
        <v>4</v>
      </c>
      <c r="AB54" s="296">
        <f t="shared" si="21"/>
        <v>57.647058823529406</v>
      </c>
      <c r="AC54" s="297">
        <f t="shared" si="56"/>
        <v>675000</v>
      </c>
      <c r="AD54" s="301">
        <f t="shared" si="22"/>
        <v>3375</v>
      </c>
      <c r="AE54" s="298"/>
      <c r="AJ54" s="108">
        <f t="shared" si="57"/>
        <v>270</v>
      </c>
      <c r="AK54" s="108">
        <f t="shared" si="57"/>
        <v>0</v>
      </c>
      <c r="AL54" s="108">
        <f t="shared" si="57"/>
        <v>270</v>
      </c>
      <c r="AM54" s="108">
        <f t="shared" si="57"/>
        <v>0</v>
      </c>
      <c r="AN54" s="108">
        <f t="shared" si="57"/>
        <v>0</v>
      </c>
      <c r="AO54" s="108">
        <f t="shared" si="57"/>
        <v>0</v>
      </c>
      <c r="AP54" s="108">
        <f t="shared" si="57"/>
        <v>0</v>
      </c>
      <c r="AQ54" s="108">
        <f t="shared" si="57"/>
        <v>0</v>
      </c>
      <c r="AR54" s="108">
        <f t="shared" si="57"/>
        <v>270</v>
      </c>
      <c r="AX54" s="108">
        <f t="shared" si="1"/>
        <v>2</v>
      </c>
      <c r="AY54" s="108">
        <f t="shared" si="2"/>
        <v>3</v>
      </c>
      <c r="AZ54" s="108">
        <f t="shared" si="3"/>
        <v>2</v>
      </c>
      <c r="BA54" s="108">
        <f t="shared" si="4"/>
        <v>3</v>
      </c>
      <c r="BB54" s="108">
        <f t="shared" si="5"/>
        <v>3</v>
      </c>
      <c r="BC54" s="108">
        <f t="shared" si="6"/>
        <v>0</v>
      </c>
      <c r="BD54" s="108">
        <f t="shared" si="7"/>
        <v>0</v>
      </c>
      <c r="BE54" s="108">
        <f t="shared" si="8"/>
        <v>0</v>
      </c>
      <c r="BF54" s="108">
        <f t="shared" si="9"/>
        <v>2</v>
      </c>
      <c r="BG54" s="108">
        <f t="shared" si="10"/>
        <v>4</v>
      </c>
      <c r="BH54" s="108">
        <f t="shared" si="23"/>
        <v>49</v>
      </c>
      <c r="BJ54" s="108">
        <f t="shared" si="11"/>
        <v>5</v>
      </c>
      <c r="BK54" s="108">
        <f t="shared" si="12"/>
        <v>5</v>
      </c>
      <c r="BL54" s="108">
        <f t="shared" si="13"/>
        <v>5</v>
      </c>
      <c r="BM54" s="108">
        <f t="shared" si="14"/>
        <v>5</v>
      </c>
      <c r="BN54" s="108">
        <f t="shared" si="15"/>
        <v>5</v>
      </c>
      <c r="BO54" s="108">
        <f t="shared" si="16"/>
        <v>0</v>
      </c>
      <c r="BP54" s="108">
        <f t="shared" si="17"/>
        <v>0</v>
      </c>
      <c r="BQ54" s="108">
        <f t="shared" si="18"/>
        <v>0</v>
      </c>
      <c r="BR54" s="108">
        <f t="shared" si="19"/>
        <v>5</v>
      </c>
      <c r="BS54" s="108">
        <f t="shared" si="20"/>
        <v>5</v>
      </c>
      <c r="BT54" s="108">
        <f t="shared" si="24"/>
        <v>85</v>
      </c>
    </row>
    <row r="55" spans="1:72" ht="25" customHeight="1" x14ac:dyDescent="0.3">
      <c r="A55" s="185"/>
      <c r="B55" s="116" t="s">
        <v>394</v>
      </c>
      <c r="C55" s="126" t="s">
        <v>1807</v>
      </c>
      <c r="D55" s="124" t="s">
        <v>316</v>
      </c>
      <c r="E55" s="116" t="s">
        <v>273</v>
      </c>
      <c r="F55" s="111">
        <f>7+31.31032/60</f>
        <v>7.5218386666666666</v>
      </c>
      <c r="G55" s="111">
        <f>134+30.21698/60</f>
        <v>134.50361633333333</v>
      </c>
      <c r="H55" s="295" t="s">
        <v>1601</v>
      </c>
      <c r="I55" s="112" t="s">
        <v>502</v>
      </c>
      <c r="J55" s="112">
        <v>2008</v>
      </c>
      <c r="K55" s="295" t="s">
        <v>1806</v>
      </c>
      <c r="L55" s="117">
        <v>290</v>
      </c>
      <c r="M55" s="118" t="s">
        <v>308</v>
      </c>
      <c r="N55" s="118" t="s">
        <v>298</v>
      </c>
      <c r="O55" s="118" t="s">
        <v>330</v>
      </c>
      <c r="P55" s="196" t="s">
        <v>298</v>
      </c>
      <c r="Q55" s="118" t="s">
        <v>309</v>
      </c>
      <c r="R55" s="154">
        <v>3</v>
      </c>
      <c r="S55" s="154">
        <v>3</v>
      </c>
      <c r="T55" s="154">
        <v>2</v>
      </c>
      <c r="U55" s="154">
        <v>3</v>
      </c>
      <c r="V55" s="154">
        <v>3</v>
      </c>
      <c r="W55" s="154">
        <v>2</v>
      </c>
      <c r="X55" s="154">
        <v>3</v>
      </c>
      <c r="Y55" s="154" t="s">
        <v>92</v>
      </c>
      <c r="Z55" s="154">
        <v>3</v>
      </c>
      <c r="AA55" s="154">
        <v>4</v>
      </c>
      <c r="AB55" s="296">
        <f t="shared" si="21"/>
        <v>61.05263157894737</v>
      </c>
      <c r="AC55" s="297">
        <f t="shared" si="56"/>
        <v>725000</v>
      </c>
      <c r="AD55" s="301">
        <f t="shared" si="22"/>
        <v>3625</v>
      </c>
      <c r="AE55" s="298"/>
      <c r="AJ55" s="108">
        <f t="shared" si="57"/>
        <v>0</v>
      </c>
      <c r="AK55" s="108">
        <f t="shared" si="57"/>
        <v>0</v>
      </c>
      <c r="AL55" s="108">
        <f t="shared" si="57"/>
        <v>290</v>
      </c>
      <c r="AM55" s="108">
        <f t="shared" si="57"/>
        <v>0</v>
      </c>
      <c r="AN55" s="108">
        <f t="shared" si="57"/>
        <v>0</v>
      </c>
      <c r="AO55" s="108">
        <f t="shared" si="57"/>
        <v>290</v>
      </c>
      <c r="AP55" s="108">
        <f t="shared" si="57"/>
        <v>0</v>
      </c>
      <c r="AQ55" s="108">
        <f t="shared" si="57"/>
        <v>0</v>
      </c>
      <c r="AR55" s="108">
        <f t="shared" si="57"/>
        <v>0</v>
      </c>
      <c r="AX55" s="108">
        <f t="shared" si="1"/>
        <v>3</v>
      </c>
      <c r="AY55" s="108">
        <f t="shared" si="2"/>
        <v>3</v>
      </c>
      <c r="AZ55" s="108">
        <f t="shared" si="3"/>
        <v>2</v>
      </c>
      <c r="BA55" s="108">
        <f t="shared" si="4"/>
        <v>3</v>
      </c>
      <c r="BB55" s="108">
        <f t="shared" si="5"/>
        <v>3</v>
      </c>
      <c r="BC55" s="108">
        <f t="shared" si="6"/>
        <v>2</v>
      </c>
      <c r="BD55" s="108">
        <f t="shared" si="7"/>
        <v>3</v>
      </c>
      <c r="BE55" s="108">
        <f t="shared" si="8"/>
        <v>0</v>
      </c>
      <c r="BF55" s="108">
        <f t="shared" si="9"/>
        <v>3</v>
      </c>
      <c r="BG55" s="108">
        <f t="shared" si="10"/>
        <v>4</v>
      </c>
      <c r="BH55" s="108">
        <f t="shared" si="23"/>
        <v>58</v>
      </c>
      <c r="BJ55" s="108">
        <f t="shared" si="11"/>
        <v>5</v>
      </c>
      <c r="BK55" s="108">
        <f t="shared" si="12"/>
        <v>5</v>
      </c>
      <c r="BL55" s="108">
        <f t="shared" si="13"/>
        <v>5</v>
      </c>
      <c r="BM55" s="108">
        <f t="shared" si="14"/>
        <v>5</v>
      </c>
      <c r="BN55" s="108">
        <f t="shared" si="15"/>
        <v>5</v>
      </c>
      <c r="BO55" s="108">
        <f t="shared" si="16"/>
        <v>5</v>
      </c>
      <c r="BP55" s="108">
        <f t="shared" si="17"/>
        <v>5</v>
      </c>
      <c r="BQ55" s="108">
        <f t="shared" si="18"/>
        <v>0</v>
      </c>
      <c r="BR55" s="108">
        <f t="shared" si="19"/>
        <v>5</v>
      </c>
      <c r="BS55" s="108">
        <f t="shared" si="20"/>
        <v>5</v>
      </c>
      <c r="BT55" s="108">
        <f t="shared" si="24"/>
        <v>95</v>
      </c>
    </row>
    <row r="56" spans="1:72" ht="25" customHeight="1" x14ac:dyDescent="0.3">
      <c r="A56" s="185"/>
      <c r="B56" s="116" t="s">
        <v>395</v>
      </c>
      <c r="C56" s="126" t="s">
        <v>1808</v>
      </c>
      <c r="D56" s="124" t="s">
        <v>316</v>
      </c>
      <c r="E56" s="116" t="s">
        <v>273</v>
      </c>
      <c r="F56" s="111">
        <f>7+31.31699/60</f>
        <v>7.5219498333333332</v>
      </c>
      <c r="G56" s="111">
        <f>134+30.22888/60</f>
        <v>134.50381466666667</v>
      </c>
      <c r="H56" s="295" t="s">
        <v>1601</v>
      </c>
      <c r="I56" s="112" t="s">
        <v>502</v>
      </c>
      <c r="J56" s="112" t="s">
        <v>311</v>
      </c>
      <c r="K56" s="295" t="s">
        <v>311</v>
      </c>
      <c r="L56" s="117">
        <v>138</v>
      </c>
      <c r="M56" s="118" t="s">
        <v>308</v>
      </c>
      <c r="N56" s="118" t="s">
        <v>298</v>
      </c>
      <c r="O56" s="118" t="s">
        <v>329</v>
      </c>
      <c r="P56" s="196" t="s">
        <v>322</v>
      </c>
      <c r="Q56" s="118" t="s">
        <v>309</v>
      </c>
      <c r="R56" s="154">
        <v>4</v>
      </c>
      <c r="S56" s="154">
        <v>4</v>
      </c>
      <c r="T56" s="154">
        <v>2</v>
      </c>
      <c r="U56" s="154">
        <v>3</v>
      </c>
      <c r="V56" s="154">
        <v>3</v>
      </c>
      <c r="W56" s="154">
        <v>3</v>
      </c>
      <c r="X56" s="154">
        <v>3</v>
      </c>
      <c r="Y56" s="154">
        <v>3</v>
      </c>
      <c r="Z56" s="154">
        <v>3</v>
      </c>
      <c r="AA56" s="154">
        <v>3</v>
      </c>
      <c r="AB56" s="296">
        <f t="shared" si="21"/>
        <v>66</v>
      </c>
      <c r="AC56" s="297">
        <f t="shared" si="56"/>
        <v>345000</v>
      </c>
      <c r="AD56" s="301">
        <f t="shared" si="22"/>
        <v>1725</v>
      </c>
      <c r="AE56" s="298"/>
      <c r="AJ56" s="108">
        <f t="shared" si="57"/>
        <v>0</v>
      </c>
      <c r="AK56" s="108">
        <f t="shared" si="57"/>
        <v>0</v>
      </c>
      <c r="AL56" s="108">
        <f t="shared" si="57"/>
        <v>138</v>
      </c>
      <c r="AM56" s="108">
        <f t="shared" si="57"/>
        <v>0</v>
      </c>
      <c r="AN56" s="108">
        <f t="shared" si="57"/>
        <v>0</v>
      </c>
      <c r="AO56" s="108">
        <f t="shared" si="57"/>
        <v>0</v>
      </c>
      <c r="AP56" s="108">
        <f t="shared" si="57"/>
        <v>0</v>
      </c>
      <c r="AQ56" s="108">
        <f t="shared" si="57"/>
        <v>0</v>
      </c>
      <c r="AR56" s="108">
        <f t="shared" si="57"/>
        <v>0</v>
      </c>
      <c r="AX56" s="108">
        <f t="shared" si="1"/>
        <v>4</v>
      </c>
      <c r="AY56" s="108">
        <f t="shared" si="2"/>
        <v>4</v>
      </c>
      <c r="AZ56" s="108">
        <f t="shared" si="3"/>
        <v>2</v>
      </c>
      <c r="BA56" s="108">
        <f t="shared" si="4"/>
        <v>3</v>
      </c>
      <c r="BB56" s="108">
        <f t="shared" si="5"/>
        <v>3</v>
      </c>
      <c r="BC56" s="108">
        <f t="shared" si="6"/>
        <v>3</v>
      </c>
      <c r="BD56" s="108">
        <f t="shared" si="7"/>
        <v>3</v>
      </c>
      <c r="BE56" s="108">
        <f t="shared" si="8"/>
        <v>3</v>
      </c>
      <c r="BF56" s="108">
        <f t="shared" si="9"/>
        <v>3</v>
      </c>
      <c r="BG56" s="108">
        <f t="shared" si="10"/>
        <v>3</v>
      </c>
      <c r="BH56" s="108">
        <f t="shared" si="23"/>
        <v>66</v>
      </c>
      <c r="BJ56" s="108">
        <f t="shared" si="11"/>
        <v>5</v>
      </c>
      <c r="BK56" s="108">
        <f t="shared" si="12"/>
        <v>5</v>
      </c>
      <c r="BL56" s="108">
        <f t="shared" si="13"/>
        <v>5</v>
      </c>
      <c r="BM56" s="108">
        <f t="shared" si="14"/>
        <v>5</v>
      </c>
      <c r="BN56" s="108">
        <f t="shared" si="15"/>
        <v>5</v>
      </c>
      <c r="BO56" s="108">
        <f t="shared" si="16"/>
        <v>5</v>
      </c>
      <c r="BP56" s="108">
        <f t="shared" si="17"/>
        <v>5</v>
      </c>
      <c r="BQ56" s="108">
        <f t="shared" si="18"/>
        <v>5</v>
      </c>
      <c r="BR56" s="108">
        <f t="shared" si="19"/>
        <v>5</v>
      </c>
      <c r="BS56" s="108">
        <f t="shared" si="20"/>
        <v>5</v>
      </c>
      <c r="BT56" s="108">
        <f t="shared" si="24"/>
        <v>100</v>
      </c>
    </row>
    <row r="57" spans="1:72" ht="25" customHeight="1" x14ac:dyDescent="0.3">
      <c r="A57" s="185"/>
      <c r="B57" s="116" t="s">
        <v>396</v>
      </c>
      <c r="C57" s="126" t="s">
        <v>332</v>
      </c>
      <c r="D57" s="124" t="s">
        <v>316</v>
      </c>
      <c r="E57" s="116" t="s">
        <v>273</v>
      </c>
      <c r="F57" s="111">
        <f>7+31.429537/60</f>
        <v>7.5238256166666666</v>
      </c>
      <c r="G57" s="111">
        <f>134+31.125101/60</f>
        <v>134.51875168333333</v>
      </c>
      <c r="H57" s="295" t="s">
        <v>333</v>
      </c>
      <c r="I57" s="112">
        <v>2003</v>
      </c>
      <c r="J57" s="112" t="s">
        <v>311</v>
      </c>
      <c r="K57" s="295" t="s">
        <v>311</v>
      </c>
      <c r="L57" s="117">
        <v>712</v>
      </c>
      <c r="M57" s="118" t="s">
        <v>308</v>
      </c>
      <c r="N57" s="118" t="s">
        <v>298</v>
      </c>
      <c r="O57" s="118" t="s">
        <v>329</v>
      </c>
      <c r="P57" s="196" t="s">
        <v>322</v>
      </c>
      <c r="Q57" s="118" t="s">
        <v>334</v>
      </c>
      <c r="R57" s="154">
        <v>5</v>
      </c>
      <c r="S57" s="154">
        <v>4</v>
      </c>
      <c r="T57" s="154">
        <v>3</v>
      </c>
      <c r="U57" s="154">
        <v>3</v>
      </c>
      <c r="V57" s="154">
        <v>3</v>
      </c>
      <c r="W57" s="154">
        <v>3</v>
      </c>
      <c r="X57" s="154">
        <v>3</v>
      </c>
      <c r="Y57" s="154">
        <v>3</v>
      </c>
      <c r="Z57" s="154">
        <v>3</v>
      </c>
      <c r="AA57" s="154">
        <v>3</v>
      </c>
      <c r="AB57" s="296">
        <f t="shared" si="21"/>
        <v>71</v>
      </c>
      <c r="AC57" s="297">
        <f t="shared" si="56"/>
        <v>1780000</v>
      </c>
      <c r="AD57" s="301">
        <f t="shared" si="22"/>
        <v>8900</v>
      </c>
      <c r="AE57" s="463" t="s">
        <v>316</v>
      </c>
      <c r="AF57" s="463"/>
      <c r="AJ57" s="108">
        <f t="shared" si="57"/>
        <v>0</v>
      </c>
      <c r="AK57" s="108">
        <f t="shared" si="57"/>
        <v>0</v>
      </c>
      <c r="AL57" s="108">
        <f t="shared" si="57"/>
        <v>0</v>
      </c>
      <c r="AM57" s="108">
        <f t="shared" si="57"/>
        <v>0</v>
      </c>
      <c r="AN57" s="108">
        <f t="shared" si="57"/>
        <v>0</v>
      </c>
      <c r="AO57" s="108">
        <f t="shared" si="57"/>
        <v>0</v>
      </c>
      <c r="AP57" s="108">
        <f t="shared" si="57"/>
        <v>0</v>
      </c>
      <c r="AQ57" s="108">
        <f t="shared" si="57"/>
        <v>0</v>
      </c>
      <c r="AR57" s="108">
        <f t="shared" si="57"/>
        <v>0</v>
      </c>
      <c r="AX57" s="108">
        <f t="shared" si="1"/>
        <v>5</v>
      </c>
      <c r="AY57" s="108">
        <f t="shared" si="2"/>
        <v>4</v>
      </c>
      <c r="AZ57" s="108">
        <f t="shared" si="3"/>
        <v>3</v>
      </c>
      <c r="BA57" s="108">
        <f t="shared" si="4"/>
        <v>3</v>
      </c>
      <c r="BB57" s="108">
        <f t="shared" si="5"/>
        <v>3</v>
      </c>
      <c r="BC57" s="108">
        <f t="shared" si="6"/>
        <v>3</v>
      </c>
      <c r="BD57" s="108">
        <f t="shared" si="7"/>
        <v>3</v>
      </c>
      <c r="BE57" s="108">
        <f t="shared" si="8"/>
        <v>3</v>
      </c>
      <c r="BF57" s="108">
        <f t="shared" si="9"/>
        <v>3</v>
      </c>
      <c r="BG57" s="108">
        <f t="shared" si="10"/>
        <v>3</v>
      </c>
      <c r="BH57" s="108">
        <f t="shared" si="23"/>
        <v>71</v>
      </c>
      <c r="BJ57" s="108">
        <f t="shared" si="11"/>
        <v>5</v>
      </c>
      <c r="BK57" s="108">
        <f t="shared" si="12"/>
        <v>5</v>
      </c>
      <c r="BL57" s="108">
        <f t="shared" si="13"/>
        <v>5</v>
      </c>
      <c r="BM57" s="108">
        <f t="shared" si="14"/>
        <v>5</v>
      </c>
      <c r="BN57" s="108">
        <f t="shared" si="15"/>
        <v>5</v>
      </c>
      <c r="BO57" s="108">
        <f t="shared" si="16"/>
        <v>5</v>
      </c>
      <c r="BP57" s="108">
        <f t="shared" si="17"/>
        <v>5</v>
      </c>
      <c r="BQ57" s="108">
        <f t="shared" si="18"/>
        <v>5</v>
      </c>
      <c r="BR57" s="108">
        <f t="shared" si="19"/>
        <v>5</v>
      </c>
      <c r="BS57" s="108">
        <f t="shared" si="20"/>
        <v>5</v>
      </c>
      <c r="BT57" s="108">
        <f t="shared" si="24"/>
        <v>100</v>
      </c>
    </row>
    <row r="58" spans="1:72" ht="25" customHeight="1" x14ac:dyDescent="0.3">
      <c r="A58" s="185"/>
      <c r="B58" s="116"/>
      <c r="C58" s="126"/>
      <c r="D58" s="124"/>
      <c r="E58" s="116"/>
      <c r="F58" s="111"/>
      <c r="G58" s="111"/>
      <c r="H58" s="295"/>
      <c r="I58" s="112"/>
      <c r="J58" s="112"/>
      <c r="K58" s="295"/>
      <c r="L58" s="117"/>
      <c r="M58" s="118"/>
      <c r="N58" s="118"/>
      <c r="O58" s="118"/>
      <c r="P58" s="196"/>
      <c r="Q58" s="118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296"/>
      <c r="AC58" s="297"/>
      <c r="AD58" s="301"/>
      <c r="AE58" s="302">
        <f>SUM(AC51:AC57)</f>
        <v>4777500</v>
      </c>
      <c r="AF58" s="302">
        <f>SUM(AD51:AD57)</f>
        <v>23887.5</v>
      </c>
      <c r="AG58" s="303"/>
      <c r="AH58" s="303"/>
      <c r="AI58" s="303"/>
      <c r="AJ58" s="304">
        <f>SUM(AJ51:AJ57)*AJ$2*$AS$1</f>
        <v>67500</v>
      </c>
      <c r="AK58" s="304">
        <f t="shared" ref="AK58:AR58" si="58">SUM(AK51:AK57)*AK$2*$AS$1</f>
        <v>0</v>
      </c>
      <c r="AL58" s="304">
        <f t="shared" si="58"/>
        <v>174500</v>
      </c>
      <c r="AM58" s="304">
        <f t="shared" si="58"/>
        <v>0</v>
      </c>
      <c r="AN58" s="304">
        <f t="shared" si="58"/>
        <v>0</v>
      </c>
      <c r="AO58" s="304">
        <f t="shared" si="58"/>
        <v>145000</v>
      </c>
      <c r="AP58" s="304">
        <f t="shared" si="58"/>
        <v>0</v>
      </c>
      <c r="AQ58" s="304">
        <f t="shared" si="58"/>
        <v>0</v>
      </c>
      <c r="AR58" s="304">
        <f t="shared" si="58"/>
        <v>47250.000000000007</v>
      </c>
      <c r="AS58" s="305">
        <f>SUM(AJ58:AR58)</f>
        <v>434250</v>
      </c>
      <c r="AX58" s="108">
        <f t="shared" si="1"/>
        <v>0</v>
      </c>
      <c r="AY58" s="108">
        <f t="shared" si="2"/>
        <v>0</v>
      </c>
      <c r="AZ58" s="108">
        <f t="shared" si="3"/>
        <v>0</v>
      </c>
      <c r="BA58" s="108">
        <f t="shared" si="4"/>
        <v>0</v>
      </c>
      <c r="BB58" s="108">
        <f t="shared" si="5"/>
        <v>0</v>
      </c>
      <c r="BC58" s="108">
        <f t="shared" si="6"/>
        <v>0</v>
      </c>
      <c r="BD58" s="108">
        <f t="shared" si="7"/>
        <v>0</v>
      </c>
      <c r="BE58" s="108">
        <f t="shared" si="8"/>
        <v>0</v>
      </c>
      <c r="BF58" s="108">
        <f t="shared" si="9"/>
        <v>0</v>
      </c>
      <c r="BG58" s="108">
        <f t="shared" si="10"/>
        <v>0</v>
      </c>
      <c r="BH58" s="108">
        <f t="shared" si="23"/>
        <v>0</v>
      </c>
      <c r="BJ58" s="108">
        <f t="shared" si="11"/>
        <v>0</v>
      </c>
      <c r="BK58" s="108">
        <f t="shared" si="12"/>
        <v>0</v>
      </c>
      <c r="BL58" s="108">
        <f t="shared" si="13"/>
        <v>0</v>
      </c>
      <c r="BM58" s="108">
        <f t="shared" si="14"/>
        <v>0</v>
      </c>
      <c r="BN58" s="108">
        <f t="shared" si="15"/>
        <v>0</v>
      </c>
      <c r="BO58" s="108">
        <f t="shared" si="16"/>
        <v>0</v>
      </c>
      <c r="BP58" s="108">
        <f t="shared" si="17"/>
        <v>0</v>
      </c>
      <c r="BQ58" s="108">
        <f t="shared" si="18"/>
        <v>0</v>
      </c>
      <c r="BR58" s="108">
        <f t="shared" si="19"/>
        <v>0</v>
      </c>
      <c r="BS58" s="108">
        <f t="shared" si="20"/>
        <v>0</v>
      </c>
      <c r="BT58" s="108">
        <f t="shared" si="24"/>
        <v>0</v>
      </c>
    </row>
    <row r="59" spans="1:72" ht="25" customHeight="1" x14ac:dyDescent="0.3">
      <c r="A59" s="185"/>
      <c r="B59" s="116" t="s">
        <v>1809</v>
      </c>
      <c r="C59" s="126" t="s">
        <v>1810</v>
      </c>
      <c r="D59" s="124" t="s">
        <v>1811</v>
      </c>
      <c r="E59" s="116" t="s">
        <v>679</v>
      </c>
      <c r="F59" s="111">
        <f>7+29.56716/60</f>
        <v>7.4927859999999997</v>
      </c>
      <c r="G59" s="111">
        <f>134+31.45477/60</f>
        <v>134.52424616666667</v>
      </c>
      <c r="H59" s="295" t="s">
        <v>307</v>
      </c>
      <c r="I59" s="112"/>
      <c r="J59" s="112" t="s">
        <v>311</v>
      </c>
      <c r="K59" s="295" t="s">
        <v>311</v>
      </c>
      <c r="L59" s="117">
        <v>84</v>
      </c>
      <c r="M59" s="118" t="s">
        <v>308</v>
      </c>
      <c r="N59" s="118" t="s">
        <v>298</v>
      </c>
      <c r="O59" s="118" t="s">
        <v>92</v>
      </c>
      <c r="P59" s="196" t="s">
        <v>298</v>
      </c>
      <c r="Q59" s="118" t="s">
        <v>309</v>
      </c>
      <c r="R59" s="154">
        <v>3</v>
      </c>
      <c r="S59" s="154">
        <v>3</v>
      </c>
      <c r="T59" s="154" t="s">
        <v>92</v>
      </c>
      <c r="U59" s="154">
        <v>3</v>
      </c>
      <c r="V59" s="154">
        <v>3</v>
      </c>
      <c r="W59" s="154">
        <v>2</v>
      </c>
      <c r="X59" s="154" t="s">
        <v>92</v>
      </c>
      <c r="Y59" s="154" t="s">
        <v>92</v>
      </c>
      <c r="Z59" s="154">
        <v>3</v>
      </c>
      <c r="AA59" s="154">
        <v>3</v>
      </c>
      <c r="AB59" s="296">
        <f t="shared" si="21"/>
        <v>58.75</v>
      </c>
      <c r="AC59" s="297">
        <f>L59*AC$2</f>
        <v>210000</v>
      </c>
      <c r="AD59" s="301">
        <f t="shared" si="22"/>
        <v>1050</v>
      </c>
      <c r="AE59" s="298"/>
      <c r="AJ59" s="108">
        <f t="shared" ref="AJ59:AR63" si="59">IF(OR(R59=1,R59=2),$L59,0)</f>
        <v>0</v>
      </c>
      <c r="AK59" s="108">
        <f t="shared" si="59"/>
        <v>0</v>
      </c>
      <c r="AL59" s="108">
        <f t="shared" si="59"/>
        <v>0</v>
      </c>
      <c r="AM59" s="108">
        <f t="shared" si="59"/>
        <v>0</v>
      </c>
      <c r="AN59" s="108">
        <f t="shared" si="59"/>
        <v>0</v>
      </c>
      <c r="AO59" s="108">
        <f t="shared" si="59"/>
        <v>84</v>
      </c>
      <c r="AP59" s="108">
        <f t="shared" si="59"/>
        <v>0</v>
      </c>
      <c r="AQ59" s="108">
        <f t="shared" si="59"/>
        <v>0</v>
      </c>
      <c r="AR59" s="108">
        <f t="shared" si="59"/>
        <v>0</v>
      </c>
      <c r="AX59" s="108">
        <f t="shared" si="1"/>
        <v>3</v>
      </c>
      <c r="AY59" s="108">
        <f t="shared" si="2"/>
        <v>3</v>
      </c>
      <c r="AZ59" s="108">
        <f t="shared" si="3"/>
        <v>0</v>
      </c>
      <c r="BA59" s="108">
        <f t="shared" si="4"/>
        <v>3</v>
      </c>
      <c r="BB59" s="108">
        <f t="shared" si="5"/>
        <v>3</v>
      </c>
      <c r="BC59" s="108">
        <f t="shared" si="6"/>
        <v>2</v>
      </c>
      <c r="BD59" s="108">
        <f t="shared" si="7"/>
        <v>0</v>
      </c>
      <c r="BE59" s="108">
        <f t="shared" si="8"/>
        <v>0</v>
      </c>
      <c r="BF59" s="108">
        <f t="shared" si="9"/>
        <v>3</v>
      </c>
      <c r="BG59" s="108">
        <f t="shared" si="10"/>
        <v>3</v>
      </c>
      <c r="BH59" s="108">
        <f t="shared" si="23"/>
        <v>47</v>
      </c>
      <c r="BJ59" s="108">
        <f t="shared" si="11"/>
        <v>5</v>
      </c>
      <c r="BK59" s="108">
        <f t="shared" si="12"/>
        <v>5</v>
      </c>
      <c r="BL59" s="108">
        <f t="shared" si="13"/>
        <v>0</v>
      </c>
      <c r="BM59" s="108">
        <f t="shared" si="14"/>
        <v>5</v>
      </c>
      <c r="BN59" s="108">
        <f t="shared" si="15"/>
        <v>5</v>
      </c>
      <c r="BO59" s="108">
        <f t="shared" si="16"/>
        <v>5</v>
      </c>
      <c r="BP59" s="108">
        <f t="shared" si="17"/>
        <v>0</v>
      </c>
      <c r="BQ59" s="108">
        <f t="shared" si="18"/>
        <v>0</v>
      </c>
      <c r="BR59" s="108">
        <f t="shared" si="19"/>
        <v>5</v>
      </c>
      <c r="BS59" s="108">
        <f t="shared" si="20"/>
        <v>5</v>
      </c>
      <c r="BT59" s="108">
        <f t="shared" si="24"/>
        <v>80</v>
      </c>
    </row>
    <row r="60" spans="1:72" ht="25" customHeight="1" x14ac:dyDescent="0.3">
      <c r="A60" s="185"/>
      <c r="B60" s="116" t="s">
        <v>1812</v>
      </c>
      <c r="C60" s="126" t="s">
        <v>1813</v>
      </c>
      <c r="D60" s="124" t="s">
        <v>1811</v>
      </c>
      <c r="E60" s="116" t="s">
        <v>679</v>
      </c>
      <c r="F60" s="111">
        <f>7+29.53234/60</f>
        <v>7.492205666666667</v>
      </c>
      <c r="G60" s="111">
        <f>134+31.60309/60</f>
        <v>134.52671816666665</v>
      </c>
      <c r="H60" s="295" t="s">
        <v>1601</v>
      </c>
      <c r="I60" s="112"/>
      <c r="J60" s="112" t="s">
        <v>311</v>
      </c>
      <c r="K60" s="295" t="s">
        <v>311</v>
      </c>
      <c r="L60" s="117">
        <v>244</v>
      </c>
      <c r="M60" s="118" t="s">
        <v>308</v>
      </c>
      <c r="N60" s="118" t="s">
        <v>298</v>
      </c>
      <c r="O60" s="118" t="s">
        <v>329</v>
      </c>
      <c r="P60" s="196" t="s">
        <v>322</v>
      </c>
      <c r="Q60" s="118" t="s">
        <v>309</v>
      </c>
      <c r="R60" s="154">
        <v>4</v>
      </c>
      <c r="S60" s="154">
        <v>4</v>
      </c>
      <c r="T60" s="154">
        <v>2</v>
      </c>
      <c r="U60" s="154">
        <v>2</v>
      </c>
      <c r="V60" s="154">
        <v>2</v>
      </c>
      <c r="W60" s="154">
        <v>2</v>
      </c>
      <c r="X60" s="154">
        <v>2</v>
      </c>
      <c r="Y60" s="154" t="s">
        <v>92</v>
      </c>
      <c r="Z60" s="154">
        <v>2</v>
      </c>
      <c r="AA60" s="154">
        <v>3</v>
      </c>
      <c r="AB60" s="296">
        <f t="shared" si="21"/>
        <v>61.05263157894737</v>
      </c>
      <c r="AC60" s="297">
        <f>L60*AC$2</f>
        <v>610000</v>
      </c>
      <c r="AD60" s="301">
        <f t="shared" si="22"/>
        <v>3050</v>
      </c>
      <c r="AE60" s="298"/>
      <c r="AJ60" s="108">
        <f t="shared" si="59"/>
        <v>0</v>
      </c>
      <c r="AK60" s="108">
        <f t="shared" si="59"/>
        <v>0</v>
      </c>
      <c r="AL60" s="108">
        <f t="shared" si="59"/>
        <v>244</v>
      </c>
      <c r="AM60" s="108">
        <f t="shared" si="59"/>
        <v>244</v>
      </c>
      <c r="AN60" s="108">
        <f t="shared" si="59"/>
        <v>244</v>
      </c>
      <c r="AO60" s="108">
        <f t="shared" si="59"/>
        <v>244</v>
      </c>
      <c r="AP60" s="108">
        <f t="shared" si="59"/>
        <v>244</v>
      </c>
      <c r="AQ60" s="108">
        <f t="shared" si="59"/>
        <v>0</v>
      </c>
      <c r="AR60" s="108">
        <f t="shared" si="59"/>
        <v>244</v>
      </c>
      <c r="AX60" s="108">
        <f t="shared" si="1"/>
        <v>4</v>
      </c>
      <c r="AY60" s="108">
        <f t="shared" si="2"/>
        <v>4</v>
      </c>
      <c r="AZ60" s="108">
        <f t="shared" si="3"/>
        <v>2</v>
      </c>
      <c r="BA60" s="108">
        <f t="shared" si="4"/>
        <v>2</v>
      </c>
      <c r="BB60" s="108">
        <f t="shared" si="5"/>
        <v>2</v>
      </c>
      <c r="BC60" s="108">
        <f t="shared" si="6"/>
        <v>2</v>
      </c>
      <c r="BD60" s="108">
        <f t="shared" si="7"/>
        <v>2</v>
      </c>
      <c r="BE60" s="108">
        <f t="shared" si="8"/>
        <v>0</v>
      </c>
      <c r="BF60" s="108">
        <f t="shared" si="9"/>
        <v>2</v>
      </c>
      <c r="BG60" s="108">
        <f t="shared" si="10"/>
        <v>3</v>
      </c>
      <c r="BH60" s="108">
        <f t="shared" si="23"/>
        <v>58</v>
      </c>
      <c r="BJ60" s="108">
        <f t="shared" si="11"/>
        <v>5</v>
      </c>
      <c r="BK60" s="108">
        <f t="shared" si="12"/>
        <v>5</v>
      </c>
      <c r="BL60" s="108">
        <f t="shared" si="13"/>
        <v>5</v>
      </c>
      <c r="BM60" s="108">
        <f t="shared" si="14"/>
        <v>5</v>
      </c>
      <c r="BN60" s="108">
        <f t="shared" si="15"/>
        <v>5</v>
      </c>
      <c r="BO60" s="108">
        <f t="shared" si="16"/>
        <v>5</v>
      </c>
      <c r="BP60" s="108">
        <f t="shared" si="17"/>
        <v>5</v>
      </c>
      <c r="BQ60" s="108">
        <f t="shared" si="18"/>
        <v>0</v>
      </c>
      <c r="BR60" s="108">
        <f t="shared" si="19"/>
        <v>5</v>
      </c>
      <c r="BS60" s="108">
        <f t="shared" si="20"/>
        <v>5</v>
      </c>
      <c r="BT60" s="108">
        <f t="shared" si="24"/>
        <v>95</v>
      </c>
    </row>
    <row r="61" spans="1:72" ht="25" customHeight="1" x14ac:dyDescent="0.3">
      <c r="A61" s="185"/>
      <c r="B61" s="116" t="s">
        <v>1814</v>
      </c>
      <c r="C61" s="126" t="s">
        <v>1815</v>
      </c>
      <c r="D61" s="124" t="s">
        <v>1811</v>
      </c>
      <c r="E61" s="195" t="s">
        <v>670</v>
      </c>
      <c r="F61" s="111">
        <f>7+29.30148/60</f>
        <v>7.4883579999999998</v>
      </c>
      <c r="G61" s="111">
        <f>134+29.05334/60</f>
        <v>134.48422233333332</v>
      </c>
      <c r="H61" s="295" t="s">
        <v>853</v>
      </c>
      <c r="I61" s="112"/>
      <c r="J61" s="112" t="s">
        <v>311</v>
      </c>
      <c r="K61" s="295" t="s">
        <v>311</v>
      </c>
      <c r="L61" s="117">
        <v>716</v>
      </c>
      <c r="M61" s="118" t="s">
        <v>308</v>
      </c>
      <c r="N61" s="118" t="s">
        <v>298</v>
      </c>
      <c r="O61" s="118" t="s">
        <v>329</v>
      </c>
      <c r="P61" s="196" t="s">
        <v>322</v>
      </c>
      <c r="Q61" s="118" t="s">
        <v>309</v>
      </c>
      <c r="R61" s="154">
        <v>4</v>
      </c>
      <c r="S61" s="154">
        <v>3</v>
      </c>
      <c r="T61" s="154">
        <v>3</v>
      </c>
      <c r="U61" s="154">
        <v>3</v>
      </c>
      <c r="V61" s="154">
        <v>3</v>
      </c>
      <c r="W61" s="154">
        <v>3</v>
      </c>
      <c r="X61" s="154">
        <v>3</v>
      </c>
      <c r="Y61" s="154">
        <v>4</v>
      </c>
      <c r="Z61" s="154">
        <v>3</v>
      </c>
      <c r="AA61" s="154">
        <v>4</v>
      </c>
      <c r="AB61" s="296">
        <f t="shared" si="21"/>
        <v>68</v>
      </c>
      <c r="AC61" s="297">
        <f>L61*AC$2</f>
        <v>1790000</v>
      </c>
      <c r="AD61" s="301">
        <f t="shared" si="22"/>
        <v>8950</v>
      </c>
      <c r="AE61" s="298"/>
      <c r="AJ61" s="108">
        <f t="shared" si="59"/>
        <v>0</v>
      </c>
      <c r="AK61" s="108">
        <f t="shared" si="59"/>
        <v>0</v>
      </c>
      <c r="AL61" s="108">
        <f t="shared" si="59"/>
        <v>0</v>
      </c>
      <c r="AM61" s="108">
        <f t="shared" si="59"/>
        <v>0</v>
      </c>
      <c r="AN61" s="108">
        <f t="shared" si="59"/>
        <v>0</v>
      </c>
      <c r="AO61" s="108">
        <f t="shared" si="59"/>
        <v>0</v>
      </c>
      <c r="AP61" s="108">
        <f t="shared" si="59"/>
        <v>0</v>
      </c>
      <c r="AQ61" s="108">
        <f t="shared" si="59"/>
        <v>0</v>
      </c>
      <c r="AR61" s="108">
        <f t="shared" si="59"/>
        <v>0</v>
      </c>
      <c r="AX61" s="108">
        <f t="shared" si="1"/>
        <v>4</v>
      </c>
      <c r="AY61" s="108">
        <f t="shared" si="2"/>
        <v>3</v>
      </c>
      <c r="AZ61" s="108">
        <f t="shared" si="3"/>
        <v>3</v>
      </c>
      <c r="BA61" s="108">
        <f t="shared" si="4"/>
        <v>3</v>
      </c>
      <c r="BB61" s="108">
        <f t="shared" si="5"/>
        <v>3</v>
      </c>
      <c r="BC61" s="108">
        <f t="shared" si="6"/>
        <v>3</v>
      </c>
      <c r="BD61" s="108">
        <f t="shared" si="7"/>
        <v>3</v>
      </c>
      <c r="BE61" s="108">
        <f t="shared" si="8"/>
        <v>4</v>
      </c>
      <c r="BF61" s="108">
        <f t="shared" si="9"/>
        <v>3</v>
      </c>
      <c r="BG61" s="108">
        <f t="shared" si="10"/>
        <v>4</v>
      </c>
      <c r="BH61" s="108">
        <f t="shared" si="23"/>
        <v>68</v>
      </c>
      <c r="BJ61" s="108">
        <f t="shared" si="11"/>
        <v>5</v>
      </c>
      <c r="BK61" s="108">
        <f t="shared" si="12"/>
        <v>5</v>
      </c>
      <c r="BL61" s="108">
        <f t="shared" si="13"/>
        <v>5</v>
      </c>
      <c r="BM61" s="108">
        <f t="shared" si="14"/>
        <v>5</v>
      </c>
      <c r="BN61" s="108">
        <f t="shared" si="15"/>
        <v>5</v>
      </c>
      <c r="BO61" s="108">
        <f t="shared" si="16"/>
        <v>5</v>
      </c>
      <c r="BP61" s="108">
        <f t="shared" si="17"/>
        <v>5</v>
      </c>
      <c r="BQ61" s="108">
        <f t="shared" si="18"/>
        <v>5</v>
      </c>
      <c r="BR61" s="108">
        <f t="shared" si="19"/>
        <v>5</v>
      </c>
      <c r="BS61" s="108">
        <f t="shared" si="20"/>
        <v>5</v>
      </c>
      <c r="BT61" s="108">
        <f t="shared" si="24"/>
        <v>100</v>
      </c>
    </row>
    <row r="62" spans="1:72" ht="25" customHeight="1" x14ac:dyDescent="0.3">
      <c r="A62" s="185"/>
      <c r="B62" s="116" t="s">
        <v>1816</v>
      </c>
      <c r="C62" s="126" t="s">
        <v>1817</v>
      </c>
      <c r="D62" s="124" t="s">
        <v>1811</v>
      </c>
      <c r="E62" s="195" t="s">
        <v>670</v>
      </c>
      <c r="F62" s="111">
        <f>7+29.75404/60</f>
        <v>7.4959006666666665</v>
      </c>
      <c r="G62" s="111">
        <f>134+29.11743/60</f>
        <v>134.48529049999999</v>
      </c>
      <c r="H62" s="295" t="s">
        <v>1606</v>
      </c>
      <c r="I62" s="112">
        <v>1990</v>
      </c>
      <c r="J62" s="112" t="s">
        <v>311</v>
      </c>
      <c r="K62" s="295" t="s">
        <v>311</v>
      </c>
      <c r="L62" s="117">
        <v>242</v>
      </c>
      <c r="M62" s="118" t="s">
        <v>308</v>
      </c>
      <c r="N62" s="118" t="s">
        <v>298</v>
      </c>
      <c r="O62" s="118" t="s">
        <v>329</v>
      </c>
      <c r="P62" s="196" t="s">
        <v>322</v>
      </c>
      <c r="Q62" s="118" t="s">
        <v>298</v>
      </c>
      <c r="R62" s="154">
        <v>4</v>
      </c>
      <c r="S62" s="154">
        <v>4</v>
      </c>
      <c r="T62" s="154">
        <v>3</v>
      </c>
      <c r="U62" s="154">
        <v>3</v>
      </c>
      <c r="V62" s="154">
        <v>3</v>
      </c>
      <c r="W62" s="154">
        <v>3</v>
      </c>
      <c r="X62" s="154">
        <v>4</v>
      </c>
      <c r="Y62" s="154">
        <v>4</v>
      </c>
      <c r="Z62" s="154">
        <v>4</v>
      </c>
      <c r="AA62" s="154">
        <v>5</v>
      </c>
      <c r="AB62" s="296">
        <f t="shared" si="21"/>
        <v>79</v>
      </c>
      <c r="AC62" s="297">
        <f>L62*AC$2</f>
        <v>605000</v>
      </c>
      <c r="AD62" s="301">
        <f t="shared" si="22"/>
        <v>3025</v>
      </c>
      <c r="AE62" s="298"/>
      <c r="AJ62" s="108">
        <f t="shared" si="59"/>
        <v>0</v>
      </c>
      <c r="AK62" s="108">
        <f t="shared" si="59"/>
        <v>0</v>
      </c>
      <c r="AL62" s="108">
        <f t="shared" si="59"/>
        <v>0</v>
      </c>
      <c r="AM62" s="108">
        <f t="shared" si="59"/>
        <v>0</v>
      </c>
      <c r="AN62" s="108">
        <f t="shared" si="59"/>
        <v>0</v>
      </c>
      <c r="AO62" s="108">
        <f t="shared" si="59"/>
        <v>0</v>
      </c>
      <c r="AP62" s="108">
        <f t="shared" si="59"/>
        <v>0</v>
      </c>
      <c r="AQ62" s="108">
        <f t="shared" si="59"/>
        <v>0</v>
      </c>
      <c r="AR62" s="108">
        <f t="shared" si="59"/>
        <v>0</v>
      </c>
      <c r="AX62" s="108">
        <f t="shared" si="1"/>
        <v>4</v>
      </c>
      <c r="AY62" s="108">
        <f t="shared" si="2"/>
        <v>4</v>
      </c>
      <c r="AZ62" s="108">
        <f t="shared" si="3"/>
        <v>3</v>
      </c>
      <c r="BA62" s="108">
        <f t="shared" si="4"/>
        <v>3</v>
      </c>
      <c r="BB62" s="108">
        <f t="shared" si="5"/>
        <v>3</v>
      </c>
      <c r="BC62" s="108">
        <f t="shared" si="6"/>
        <v>3</v>
      </c>
      <c r="BD62" s="108">
        <f t="shared" si="7"/>
        <v>4</v>
      </c>
      <c r="BE62" s="108">
        <f t="shared" si="8"/>
        <v>4</v>
      </c>
      <c r="BF62" s="108">
        <f t="shared" si="9"/>
        <v>4</v>
      </c>
      <c r="BG62" s="108">
        <f t="shared" si="10"/>
        <v>5</v>
      </c>
      <c r="BH62" s="108">
        <f t="shared" si="23"/>
        <v>79</v>
      </c>
      <c r="BJ62" s="108">
        <f t="shared" si="11"/>
        <v>5</v>
      </c>
      <c r="BK62" s="108">
        <f t="shared" si="12"/>
        <v>5</v>
      </c>
      <c r="BL62" s="108">
        <f t="shared" si="13"/>
        <v>5</v>
      </c>
      <c r="BM62" s="108">
        <f t="shared" si="14"/>
        <v>5</v>
      </c>
      <c r="BN62" s="108">
        <f t="shared" si="15"/>
        <v>5</v>
      </c>
      <c r="BO62" s="108">
        <f t="shared" si="16"/>
        <v>5</v>
      </c>
      <c r="BP62" s="108">
        <f t="shared" si="17"/>
        <v>5</v>
      </c>
      <c r="BQ62" s="108">
        <f t="shared" si="18"/>
        <v>5</v>
      </c>
      <c r="BR62" s="108">
        <f t="shared" si="19"/>
        <v>5</v>
      </c>
      <c r="BS62" s="108">
        <f t="shared" si="20"/>
        <v>5</v>
      </c>
      <c r="BT62" s="108">
        <f t="shared" si="24"/>
        <v>100</v>
      </c>
    </row>
    <row r="63" spans="1:72" ht="25" customHeight="1" x14ac:dyDescent="0.3">
      <c r="A63" s="185"/>
      <c r="B63" s="116" t="s">
        <v>1818</v>
      </c>
      <c r="C63" s="126" t="s">
        <v>1819</v>
      </c>
      <c r="D63" s="124" t="s">
        <v>1811</v>
      </c>
      <c r="E63" s="116" t="s">
        <v>436</v>
      </c>
      <c r="F63" s="111">
        <f>7+29.37584/60</f>
        <v>7.4895973333333332</v>
      </c>
      <c r="G63" s="111">
        <f>134+29.0451/60</f>
        <v>134.48408499999999</v>
      </c>
      <c r="H63" s="295" t="s">
        <v>1601</v>
      </c>
      <c r="I63" s="112"/>
      <c r="J63" s="112" t="s">
        <v>311</v>
      </c>
      <c r="K63" s="295" t="s">
        <v>311</v>
      </c>
      <c r="L63" s="117">
        <v>245</v>
      </c>
      <c r="M63" s="118" t="s">
        <v>308</v>
      </c>
      <c r="N63" s="118" t="s">
        <v>298</v>
      </c>
      <c r="O63" s="118" t="s">
        <v>329</v>
      </c>
      <c r="P63" s="196" t="s">
        <v>322</v>
      </c>
      <c r="Q63" s="118" t="s">
        <v>309</v>
      </c>
      <c r="R63" s="154">
        <v>4</v>
      </c>
      <c r="S63" s="154">
        <v>3</v>
      </c>
      <c r="T63" s="154">
        <v>2</v>
      </c>
      <c r="U63" s="154">
        <v>2</v>
      </c>
      <c r="V63" s="154">
        <v>3</v>
      </c>
      <c r="W63" s="154">
        <v>3</v>
      </c>
      <c r="X63" s="154">
        <v>3</v>
      </c>
      <c r="Y63" s="154" t="s">
        <v>92</v>
      </c>
      <c r="Z63" s="154">
        <v>3</v>
      </c>
      <c r="AA63" s="154">
        <v>3</v>
      </c>
      <c r="AB63" s="296">
        <f t="shared" si="21"/>
        <v>60</v>
      </c>
      <c r="AC63" s="297">
        <f>L63*AC$2</f>
        <v>612500</v>
      </c>
      <c r="AD63" s="301">
        <f t="shared" si="22"/>
        <v>3062.5</v>
      </c>
      <c r="AE63" s="463" t="s">
        <v>1811</v>
      </c>
      <c r="AF63" s="463"/>
      <c r="AJ63" s="108">
        <f t="shared" si="59"/>
        <v>0</v>
      </c>
      <c r="AK63" s="108">
        <f t="shared" si="59"/>
        <v>0</v>
      </c>
      <c r="AL63" s="108">
        <f t="shared" si="59"/>
        <v>245</v>
      </c>
      <c r="AM63" s="108">
        <f t="shared" si="59"/>
        <v>245</v>
      </c>
      <c r="AN63" s="108">
        <f t="shared" si="59"/>
        <v>0</v>
      </c>
      <c r="AO63" s="108">
        <f t="shared" si="59"/>
        <v>0</v>
      </c>
      <c r="AP63" s="108">
        <f t="shared" si="59"/>
        <v>0</v>
      </c>
      <c r="AQ63" s="108">
        <f t="shared" si="59"/>
        <v>0</v>
      </c>
      <c r="AR63" s="108">
        <f t="shared" si="59"/>
        <v>0</v>
      </c>
      <c r="AX63" s="108">
        <f t="shared" si="1"/>
        <v>4</v>
      </c>
      <c r="AY63" s="108">
        <f t="shared" si="2"/>
        <v>3</v>
      </c>
      <c r="AZ63" s="108">
        <f t="shared" si="3"/>
        <v>2</v>
      </c>
      <c r="BA63" s="108">
        <f t="shared" si="4"/>
        <v>2</v>
      </c>
      <c r="BB63" s="108">
        <f t="shared" si="5"/>
        <v>3</v>
      </c>
      <c r="BC63" s="108">
        <f t="shared" si="6"/>
        <v>3</v>
      </c>
      <c r="BD63" s="108">
        <f t="shared" si="7"/>
        <v>3</v>
      </c>
      <c r="BE63" s="108">
        <f t="shared" si="8"/>
        <v>0</v>
      </c>
      <c r="BF63" s="108">
        <f t="shared" si="9"/>
        <v>3</v>
      </c>
      <c r="BG63" s="108">
        <f t="shared" si="10"/>
        <v>3</v>
      </c>
      <c r="BH63" s="108">
        <f t="shared" si="23"/>
        <v>57</v>
      </c>
      <c r="BJ63" s="108">
        <f t="shared" si="11"/>
        <v>5</v>
      </c>
      <c r="BK63" s="108">
        <f t="shared" si="12"/>
        <v>5</v>
      </c>
      <c r="BL63" s="108">
        <f t="shared" si="13"/>
        <v>5</v>
      </c>
      <c r="BM63" s="108">
        <f t="shared" si="14"/>
        <v>5</v>
      </c>
      <c r="BN63" s="108">
        <f t="shared" si="15"/>
        <v>5</v>
      </c>
      <c r="BO63" s="108">
        <f t="shared" si="16"/>
        <v>5</v>
      </c>
      <c r="BP63" s="108">
        <f t="shared" si="17"/>
        <v>5</v>
      </c>
      <c r="BQ63" s="108">
        <f t="shared" si="18"/>
        <v>0</v>
      </c>
      <c r="BR63" s="108">
        <f t="shared" si="19"/>
        <v>5</v>
      </c>
      <c r="BS63" s="108">
        <f t="shared" si="20"/>
        <v>5</v>
      </c>
      <c r="BT63" s="108">
        <f t="shared" si="24"/>
        <v>95</v>
      </c>
    </row>
    <row r="64" spans="1:72" ht="25" customHeight="1" x14ac:dyDescent="0.3">
      <c r="A64" s="185"/>
      <c r="B64" s="116"/>
      <c r="C64" s="126"/>
      <c r="D64" s="124"/>
      <c r="E64" s="116"/>
      <c r="F64" s="111"/>
      <c r="G64" s="111"/>
      <c r="H64" s="295"/>
      <c r="I64" s="112"/>
      <c r="J64" s="112"/>
      <c r="K64" s="295"/>
      <c r="L64" s="117"/>
      <c r="M64" s="118"/>
      <c r="N64" s="118"/>
      <c r="O64" s="118"/>
      <c r="P64" s="196"/>
      <c r="Q64" s="118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296"/>
      <c r="AC64" s="297"/>
      <c r="AD64" s="301"/>
      <c r="AE64" s="302">
        <f>SUM(AC59:AC63)</f>
        <v>3827500</v>
      </c>
      <c r="AF64" s="302">
        <f>SUM(AD59:AD63)</f>
        <v>19137.5</v>
      </c>
      <c r="AG64" s="303"/>
      <c r="AH64" s="303"/>
      <c r="AI64" s="303"/>
      <c r="AJ64" s="304">
        <f>SUM(AJ59:AJ63)*AJ$2*$AS$1</f>
        <v>0</v>
      </c>
      <c r="AK64" s="304">
        <f t="shared" ref="AK64:AR64" si="60">SUM(AK59:AK63)*AK$2*$AS$1</f>
        <v>0</v>
      </c>
      <c r="AL64" s="304">
        <f t="shared" si="60"/>
        <v>122250.00000000001</v>
      </c>
      <c r="AM64" s="304">
        <f t="shared" si="60"/>
        <v>122250.00000000001</v>
      </c>
      <c r="AN64" s="304">
        <f t="shared" si="60"/>
        <v>61000.000000000007</v>
      </c>
      <c r="AO64" s="304">
        <f t="shared" si="60"/>
        <v>164000.00000000003</v>
      </c>
      <c r="AP64" s="304">
        <f t="shared" si="60"/>
        <v>42700.000000000007</v>
      </c>
      <c r="AQ64" s="304">
        <f t="shared" si="60"/>
        <v>0</v>
      </c>
      <c r="AR64" s="304">
        <f t="shared" si="60"/>
        <v>42700.000000000007</v>
      </c>
      <c r="AS64" s="305">
        <f>SUM(AJ64:AR64)</f>
        <v>554900.00000000012</v>
      </c>
      <c r="AX64" s="108">
        <f t="shared" si="1"/>
        <v>0</v>
      </c>
      <c r="AY64" s="108">
        <f t="shared" si="2"/>
        <v>0</v>
      </c>
      <c r="AZ64" s="108">
        <f t="shared" si="3"/>
        <v>0</v>
      </c>
      <c r="BA64" s="108">
        <f t="shared" si="4"/>
        <v>0</v>
      </c>
      <c r="BB64" s="108">
        <f t="shared" si="5"/>
        <v>0</v>
      </c>
      <c r="BC64" s="108">
        <f t="shared" si="6"/>
        <v>0</v>
      </c>
      <c r="BD64" s="108">
        <f t="shared" si="7"/>
        <v>0</v>
      </c>
      <c r="BE64" s="108">
        <f t="shared" si="8"/>
        <v>0</v>
      </c>
      <c r="BF64" s="108">
        <f t="shared" si="9"/>
        <v>0</v>
      </c>
      <c r="BG64" s="108">
        <f t="shared" si="10"/>
        <v>0</v>
      </c>
      <c r="BH64" s="108">
        <f t="shared" si="23"/>
        <v>0</v>
      </c>
      <c r="BJ64" s="108">
        <f t="shared" si="11"/>
        <v>0</v>
      </c>
      <c r="BK64" s="108">
        <f t="shared" si="12"/>
        <v>0</v>
      </c>
      <c r="BL64" s="108">
        <f t="shared" si="13"/>
        <v>0</v>
      </c>
      <c r="BM64" s="108">
        <f t="shared" si="14"/>
        <v>0</v>
      </c>
      <c r="BN64" s="108">
        <f t="shared" si="15"/>
        <v>0</v>
      </c>
      <c r="BO64" s="108">
        <f t="shared" si="16"/>
        <v>0</v>
      </c>
      <c r="BP64" s="108">
        <f t="shared" si="17"/>
        <v>0</v>
      </c>
      <c r="BQ64" s="108">
        <f t="shared" si="18"/>
        <v>0</v>
      </c>
      <c r="BR64" s="108">
        <f t="shared" si="19"/>
        <v>0</v>
      </c>
      <c r="BS64" s="108">
        <f t="shared" si="20"/>
        <v>0</v>
      </c>
      <c r="BT64" s="108">
        <f t="shared" si="24"/>
        <v>0</v>
      </c>
    </row>
    <row r="65" spans="1:72" ht="25" customHeight="1" x14ac:dyDescent="0.3">
      <c r="A65" s="185"/>
      <c r="B65" s="116" t="s">
        <v>1692</v>
      </c>
      <c r="C65" s="126" t="s">
        <v>1820</v>
      </c>
      <c r="D65" s="124" t="s">
        <v>1821</v>
      </c>
      <c r="E65" s="116" t="s">
        <v>697</v>
      </c>
      <c r="F65" s="310">
        <f>7+25.23328/60</f>
        <v>7.4205546666666669</v>
      </c>
      <c r="G65" s="310">
        <f>134+29.77753/60</f>
        <v>134.49629216666668</v>
      </c>
      <c r="H65" s="295" t="s">
        <v>1601</v>
      </c>
      <c r="I65" s="112"/>
      <c r="J65" s="112" t="s">
        <v>311</v>
      </c>
      <c r="K65" s="295" t="s">
        <v>311</v>
      </c>
      <c r="L65" s="117">
        <v>233</v>
      </c>
      <c r="M65" s="118" t="s">
        <v>308</v>
      </c>
      <c r="N65" s="118" t="s">
        <v>298</v>
      </c>
      <c r="O65" s="118" t="s">
        <v>329</v>
      </c>
      <c r="P65" s="196" t="s">
        <v>322</v>
      </c>
      <c r="Q65" s="118" t="s">
        <v>309</v>
      </c>
      <c r="R65" s="154">
        <v>3</v>
      </c>
      <c r="S65" s="154">
        <v>4</v>
      </c>
      <c r="T65" s="154">
        <v>4</v>
      </c>
      <c r="U65" s="154">
        <v>3</v>
      </c>
      <c r="V65" s="154">
        <v>4</v>
      </c>
      <c r="W65" s="154">
        <v>2</v>
      </c>
      <c r="X65" s="154">
        <v>4</v>
      </c>
      <c r="Y65" s="154">
        <v>4</v>
      </c>
      <c r="Z65" s="154">
        <v>3</v>
      </c>
      <c r="AA65" s="154">
        <v>4</v>
      </c>
      <c r="AB65" s="296">
        <f t="shared" si="21"/>
        <v>73</v>
      </c>
      <c r="AC65" s="297">
        <f t="shared" ref="AC65:AC72" si="61">L65*AC$2</f>
        <v>582500</v>
      </c>
      <c r="AD65" s="301">
        <f t="shared" si="22"/>
        <v>2912.5</v>
      </c>
      <c r="AE65" s="298"/>
      <c r="AJ65" s="108">
        <f t="shared" ref="AJ65:AR72" si="62">IF(OR(R65=1,R65=2),$L65,0)</f>
        <v>0</v>
      </c>
      <c r="AK65" s="108">
        <f t="shared" si="62"/>
        <v>0</v>
      </c>
      <c r="AL65" s="108">
        <f t="shared" si="62"/>
        <v>0</v>
      </c>
      <c r="AM65" s="108">
        <f t="shared" si="62"/>
        <v>0</v>
      </c>
      <c r="AN65" s="108">
        <f t="shared" si="62"/>
        <v>0</v>
      </c>
      <c r="AO65" s="108">
        <f t="shared" si="62"/>
        <v>233</v>
      </c>
      <c r="AP65" s="108">
        <f t="shared" si="62"/>
        <v>0</v>
      </c>
      <c r="AQ65" s="108">
        <f t="shared" si="62"/>
        <v>0</v>
      </c>
      <c r="AR65" s="108">
        <f t="shared" si="62"/>
        <v>0</v>
      </c>
      <c r="AX65" s="108">
        <f t="shared" si="1"/>
        <v>3</v>
      </c>
      <c r="AY65" s="108">
        <f t="shared" si="2"/>
        <v>4</v>
      </c>
      <c r="AZ65" s="108">
        <f t="shared" si="3"/>
        <v>4</v>
      </c>
      <c r="BA65" s="108">
        <f t="shared" si="4"/>
        <v>3</v>
      </c>
      <c r="BB65" s="108">
        <f t="shared" si="5"/>
        <v>4</v>
      </c>
      <c r="BC65" s="108">
        <f t="shared" si="6"/>
        <v>2</v>
      </c>
      <c r="BD65" s="108">
        <f t="shared" si="7"/>
        <v>4</v>
      </c>
      <c r="BE65" s="108">
        <f t="shared" si="8"/>
        <v>4</v>
      </c>
      <c r="BF65" s="108">
        <f t="shared" si="9"/>
        <v>3</v>
      </c>
      <c r="BG65" s="108">
        <f t="shared" si="10"/>
        <v>4</v>
      </c>
      <c r="BH65" s="108">
        <f t="shared" si="23"/>
        <v>73</v>
      </c>
      <c r="BJ65" s="108">
        <f t="shared" si="11"/>
        <v>5</v>
      </c>
      <c r="BK65" s="108">
        <f t="shared" si="12"/>
        <v>5</v>
      </c>
      <c r="BL65" s="108">
        <f t="shared" si="13"/>
        <v>5</v>
      </c>
      <c r="BM65" s="108">
        <f t="shared" si="14"/>
        <v>5</v>
      </c>
      <c r="BN65" s="108">
        <f t="shared" si="15"/>
        <v>5</v>
      </c>
      <c r="BO65" s="108">
        <f t="shared" si="16"/>
        <v>5</v>
      </c>
      <c r="BP65" s="108">
        <f t="shared" si="17"/>
        <v>5</v>
      </c>
      <c r="BQ65" s="108">
        <f t="shared" si="18"/>
        <v>5</v>
      </c>
      <c r="BR65" s="108">
        <f t="shared" si="19"/>
        <v>5</v>
      </c>
      <c r="BS65" s="108">
        <f t="shared" si="20"/>
        <v>5</v>
      </c>
      <c r="BT65" s="108">
        <f t="shared" si="24"/>
        <v>100</v>
      </c>
    </row>
    <row r="66" spans="1:72" ht="25" customHeight="1" x14ac:dyDescent="0.3">
      <c r="A66" s="185"/>
      <c r="B66" s="116" t="s">
        <v>1695</v>
      </c>
      <c r="C66" s="126" t="s">
        <v>1822</v>
      </c>
      <c r="D66" s="124" t="s">
        <v>1821</v>
      </c>
      <c r="E66" s="116" t="s">
        <v>1823</v>
      </c>
      <c r="F66" s="310">
        <f>7+26.08787/60</f>
        <v>7.4347978333333335</v>
      </c>
      <c r="G66" s="310">
        <f>134+30.17944/60</f>
        <v>134.50299066666668</v>
      </c>
      <c r="H66" s="295" t="s">
        <v>1601</v>
      </c>
      <c r="I66" s="112">
        <v>2015</v>
      </c>
      <c r="J66" s="112" t="s">
        <v>311</v>
      </c>
      <c r="K66" s="295" t="s">
        <v>311</v>
      </c>
      <c r="L66" s="117">
        <v>147</v>
      </c>
      <c r="M66" s="118" t="s">
        <v>308</v>
      </c>
      <c r="N66" s="118" t="s">
        <v>298</v>
      </c>
      <c r="O66" s="118" t="s">
        <v>329</v>
      </c>
      <c r="P66" s="196" t="s">
        <v>322</v>
      </c>
      <c r="Q66" s="118" t="s">
        <v>309</v>
      </c>
      <c r="R66" s="154">
        <v>5</v>
      </c>
      <c r="S66" s="154">
        <v>5</v>
      </c>
      <c r="T66" s="154">
        <v>5</v>
      </c>
      <c r="U66" s="154">
        <v>5</v>
      </c>
      <c r="V66" s="154">
        <v>5</v>
      </c>
      <c r="W66" s="154">
        <v>5</v>
      </c>
      <c r="X66" s="154">
        <v>5</v>
      </c>
      <c r="Y66" s="154">
        <v>5</v>
      </c>
      <c r="Z66" s="154">
        <v>5</v>
      </c>
      <c r="AA66" s="154">
        <v>5</v>
      </c>
      <c r="AB66" s="296">
        <f t="shared" si="21"/>
        <v>100</v>
      </c>
      <c r="AC66" s="297">
        <f t="shared" si="61"/>
        <v>367500</v>
      </c>
      <c r="AD66" s="301">
        <f t="shared" si="22"/>
        <v>1837.5</v>
      </c>
      <c r="AE66" s="298"/>
      <c r="AJ66" s="108">
        <f t="shared" si="62"/>
        <v>0</v>
      </c>
      <c r="AK66" s="108">
        <f t="shared" si="62"/>
        <v>0</v>
      </c>
      <c r="AL66" s="108">
        <f t="shared" si="62"/>
        <v>0</v>
      </c>
      <c r="AM66" s="108">
        <f t="shared" si="62"/>
        <v>0</v>
      </c>
      <c r="AN66" s="108">
        <f t="shared" si="62"/>
        <v>0</v>
      </c>
      <c r="AO66" s="108">
        <f t="shared" si="62"/>
        <v>0</v>
      </c>
      <c r="AP66" s="108">
        <f t="shared" si="62"/>
        <v>0</v>
      </c>
      <c r="AQ66" s="108">
        <f t="shared" si="62"/>
        <v>0</v>
      </c>
      <c r="AR66" s="108">
        <f t="shared" si="62"/>
        <v>0</v>
      </c>
      <c r="AX66" s="108">
        <f t="shared" si="1"/>
        <v>5</v>
      </c>
      <c r="AY66" s="108">
        <f t="shared" si="2"/>
        <v>5</v>
      </c>
      <c r="AZ66" s="108">
        <f t="shared" si="3"/>
        <v>5</v>
      </c>
      <c r="BA66" s="108">
        <f t="shared" si="4"/>
        <v>5</v>
      </c>
      <c r="BB66" s="108">
        <f t="shared" si="5"/>
        <v>5</v>
      </c>
      <c r="BC66" s="108">
        <f t="shared" si="6"/>
        <v>5</v>
      </c>
      <c r="BD66" s="108">
        <f t="shared" si="7"/>
        <v>5</v>
      </c>
      <c r="BE66" s="108">
        <f t="shared" si="8"/>
        <v>5</v>
      </c>
      <c r="BF66" s="108">
        <f t="shared" si="9"/>
        <v>5</v>
      </c>
      <c r="BG66" s="108">
        <f t="shared" si="10"/>
        <v>5</v>
      </c>
      <c r="BH66" s="108">
        <f t="shared" si="23"/>
        <v>100</v>
      </c>
      <c r="BJ66" s="108">
        <f t="shared" si="11"/>
        <v>5</v>
      </c>
      <c r="BK66" s="108">
        <f t="shared" si="12"/>
        <v>5</v>
      </c>
      <c r="BL66" s="108">
        <f t="shared" si="13"/>
        <v>5</v>
      </c>
      <c r="BM66" s="108">
        <f t="shared" si="14"/>
        <v>5</v>
      </c>
      <c r="BN66" s="108">
        <f t="shared" si="15"/>
        <v>5</v>
      </c>
      <c r="BO66" s="108">
        <f t="shared" si="16"/>
        <v>5</v>
      </c>
      <c r="BP66" s="108">
        <f t="shared" si="17"/>
        <v>5</v>
      </c>
      <c r="BQ66" s="108">
        <f t="shared" si="18"/>
        <v>5</v>
      </c>
      <c r="BR66" s="108">
        <f t="shared" si="19"/>
        <v>5</v>
      </c>
      <c r="BS66" s="108">
        <f t="shared" si="20"/>
        <v>5</v>
      </c>
      <c r="BT66" s="108">
        <f t="shared" si="24"/>
        <v>100</v>
      </c>
    </row>
    <row r="67" spans="1:72" ht="25" customHeight="1" x14ac:dyDescent="0.3">
      <c r="A67" s="185"/>
      <c r="B67" s="116" t="s">
        <v>1824</v>
      </c>
      <c r="C67" s="126" t="s">
        <v>1825</v>
      </c>
      <c r="D67" s="124" t="s">
        <v>1821</v>
      </c>
      <c r="E67" s="116" t="s">
        <v>740</v>
      </c>
      <c r="F67" s="310">
        <f>7+26.76616/60</f>
        <v>7.4461026666666665</v>
      </c>
      <c r="G67" s="310">
        <f>134+28.57727/60</f>
        <v>134.47628783333334</v>
      </c>
      <c r="H67" s="295" t="s">
        <v>1601</v>
      </c>
      <c r="I67" s="112"/>
      <c r="J67" s="112" t="s">
        <v>311</v>
      </c>
      <c r="K67" s="295" t="s">
        <v>311</v>
      </c>
      <c r="L67" s="117">
        <v>210</v>
      </c>
      <c r="M67" s="118" t="s">
        <v>308</v>
      </c>
      <c r="N67" s="118" t="s">
        <v>298</v>
      </c>
      <c r="O67" s="118" t="s">
        <v>329</v>
      </c>
      <c r="P67" s="196" t="s">
        <v>322</v>
      </c>
      <c r="Q67" s="118" t="s">
        <v>309</v>
      </c>
      <c r="R67" s="154">
        <v>4</v>
      </c>
      <c r="S67" s="154">
        <v>4</v>
      </c>
      <c r="T67" s="154">
        <v>3</v>
      </c>
      <c r="U67" s="154">
        <v>3</v>
      </c>
      <c r="V67" s="154">
        <v>3</v>
      </c>
      <c r="W67" s="154">
        <v>4</v>
      </c>
      <c r="X67" s="154">
        <v>4</v>
      </c>
      <c r="Y67" s="154">
        <v>4</v>
      </c>
      <c r="Z67" s="154">
        <v>4</v>
      </c>
      <c r="AA67" s="154">
        <v>4</v>
      </c>
      <c r="AB67" s="296">
        <f t="shared" si="21"/>
        <v>76</v>
      </c>
      <c r="AC67" s="297">
        <f t="shared" si="61"/>
        <v>525000</v>
      </c>
      <c r="AD67" s="301">
        <f t="shared" si="22"/>
        <v>2625</v>
      </c>
      <c r="AE67" s="298"/>
      <c r="AJ67" s="108">
        <f t="shared" si="62"/>
        <v>0</v>
      </c>
      <c r="AK67" s="108">
        <f t="shared" si="62"/>
        <v>0</v>
      </c>
      <c r="AL67" s="108">
        <f t="shared" si="62"/>
        <v>0</v>
      </c>
      <c r="AM67" s="108">
        <f t="shared" si="62"/>
        <v>0</v>
      </c>
      <c r="AN67" s="108">
        <f t="shared" si="62"/>
        <v>0</v>
      </c>
      <c r="AO67" s="108">
        <f t="shared" si="62"/>
        <v>0</v>
      </c>
      <c r="AP67" s="108">
        <f t="shared" si="62"/>
        <v>0</v>
      </c>
      <c r="AQ67" s="108">
        <f t="shared" si="62"/>
        <v>0</v>
      </c>
      <c r="AR67" s="108">
        <f t="shared" si="62"/>
        <v>0</v>
      </c>
      <c r="AX67" s="108">
        <f t="shared" si="1"/>
        <v>4</v>
      </c>
      <c r="AY67" s="108">
        <f t="shared" si="2"/>
        <v>4</v>
      </c>
      <c r="AZ67" s="108">
        <f t="shared" si="3"/>
        <v>3</v>
      </c>
      <c r="BA67" s="108">
        <f t="shared" si="4"/>
        <v>3</v>
      </c>
      <c r="BB67" s="108">
        <f t="shared" si="5"/>
        <v>3</v>
      </c>
      <c r="BC67" s="108">
        <f t="shared" si="6"/>
        <v>4</v>
      </c>
      <c r="BD67" s="108">
        <f t="shared" si="7"/>
        <v>4</v>
      </c>
      <c r="BE67" s="108">
        <f t="shared" si="8"/>
        <v>4</v>
      </c>
      <c r="BF67" s="108">
        <f t="shared" si="9"/>
        <v>4</v>
      </c>
      <c r="BG67" s="108">
        <f t="shared" si="10"/>
        <v>4</v>
      </c>
      <c r="BH67" s="108">
        <f t="shared" si="23"/>
        <v>76</v>
      </c>
      <c r="BJ67" s="108">
        <f t="shared" si="11"/>
        <v>5</v>
      </c>
      <c r="BK67" s="108">
        <f t="shared" si="12"/>
        <v>5</v>
      </c>
      <c r="BL67" s="108">
        <f t="shared" si="13"/>
        <v>5</v>
      </c>
      <c r="BM67" s="108">
        <f t="shared" si="14"/>
        <v>5</v>
      </c>
      <c r="BN67" s="108">
        <f t="shared" si="15"/>
        <v>5</v>
      </c>
      <c r="BO67" s="108">
        <f t="shared" si="16"/>
        <v>5</v>
      </c>
      <c r="BP67" s="108">
        <f t="shared" si="17"/>
        <v>5</v>
      </c>
      <c r="BQ67" s="108">
        <f t="shared" si="18"/>
        <v>5</v>
      </c>
      <c r="BR67" s="108">
        <f t="shared" si="19"/>
        <v>5</v>
      </c>
      <c r="BS67" s="108">
        <f t="shared" si="20"/>
        <v>5</v>
      </c>
      <c r="BT67" s="108">
        <f t="shared" si="24"/>
        <v>100</v>
      </c>
    </row>
    <row r="68" spans="1:72" ht="25" customHeight="1" x14ac:dyDescent="0.3">
      <c r="A68" s="185"/>
      <c r="B68" s="116" t="s">
        <v>1826</v>
      </c>
      <c r="C68" s="126" t="s">
        <v>1827</v>
      </c>
      <c r="D68" s="124" t="s">
        <v>1821</v>
      </c>
      <c r="E68" s="116" t="s">
        <v>697</v>
      </c>
      <c r="F68" s="310">
        <f>7+27.39761/60</f>
        <v>7.456626833333333</v>
      </c>
      <c r="G68" s="310">
        <f>134+28.85834/60</f>
        <v>134.48097233333334</v>
      </c>
      <c r="H68" s="295" t="s">
        <v>1601</v>
      </c>
      <c r="I68" s="112"/>
      <c r="J68" s="112" t="s">
        <v>311</v>
      </c>
      <c r="K68" s="295" t="s">
        <v>311</v>
      </c>
      <c r="L68" s="117">
        <v>200</v>
      </c>
      <c r="M68" s="118" t="s">
        <v>308</v>
      </c>
      <c r="N68" s="118" t="s">
        <v>298</v>
      </c>
      <c r="O68" s="118" t="s">
        <v>329</v>
      </c>
      <c r="P68" s="196" t="s">
        <v>322</v>
      </c>
      <c r="Q68" s="118" t="s">
        <v>309</v>
      </c>
      <c r="R68" s="154">
        <v>3</v>
      </c>
      <c r="S68" s="154">
        <v>3</v>
      </c>
      <c r="T68" s="154">
        <v>3</v>
      </c>
      <c r="U68" s="154">
        <v>3</v>
      </c>
      <c r="V68" s="154">
        <v>4</v>
      </c>
      <c r="W68" s="154">
        <v>3</v>
      </c>
      <c r="X68" s="154">
        <v>4</v>
      </c>
      <c r="Y68" s="154">
        <v>4</v>
      </c>
      <c r="Z68" s="154">
        <v>3</v>
      </c>
      <c r="AA68" s="154">
        <v>4</v>
      </c>
      <c r="AB68" s="296">
        <f t="shared" si="21"/>
        <v>67</v>
      </c>
      <c r="AC68" s="297">
        <f t="shared" si="61"/>
        <v>500000</v>
      </c>
      <c r="AD68" s="301">
        <f t="shared" si="22"/>
        <v>2500</v>
      </c>
      <c r="AE68" s="298"/>
      <c r="AJ68" s="108">
        <f t="shared" si="62"/>
        <v>0</v>
      </c>
      <c r="AK68" s="108">
        <f t="shared" si="62"/>
        <v>0</v>
      </c>
      <c r="AL68" s="108">
        <f t="shared" si="62"/>
        <v>0</v>
      </c>
      <c r="AM68" s="108">
        <f t="shared" si="62"/>
        <v>0</v>
      </c>
      <c r="AN68" s="108">
        <f t="shared" si="62"/>
        <v>0</v>
      </c>
      <c r="AO68" s="108">
        <f t="shared" si="62"/>
        <v>0</v>
      </c>
      <c r="AP68" s="108">
        <f t="shared" si="62"/>
        <v>0</v>
      </c>
      <c r="AQ68" s="108">
        <f t="shared" si="62"/>
        <v>0</v>
      </c>
      <c r="AR68" s="108">
        <f t="shared" si="62"/>
        <v>0</v>
      </c>
      <c r="AX68" s="108">
        <f t="shared" ref="AX68:AX131" si="63">IF(OR(R68=1,R68=2,R68=3,R68=4,R68=5),R68,0)</f>
        <v>3</v>
      </c>
      <c r="AY68" s="108">
        <f t="shared" ref="AY68:AY131" si="64">IF(OR(S68=1,S68=2,S68=3,S68=4,S68=5),S68,0)</f>
        <v>3</v>
      </c>
      <c r="AZ68" s="108">
        <f t="shared" ref="AZ68:AZ131" si="65">IF(OR(T68=1,T68=2,T68=3,T68=4,T68=5),T68,0)</f>
        <v>3</v>
      </c>
      <c r="BA68" s="108">
        <f t="shared" ref="BA68:BA131" si="66">IF(OR(U68=1,U68=2,U68=3,U68=4,U68=5),U68,0)</f>
        <v>3</v>
      </c>
      <c r="BB68" s="108">
        <f t="shared" ref="BB68:BB131" si="67">IF(OR(V68=1,V68=2,V68=3,V68=4,V68=5),V68,0)</f>
        <v>4</v>
      </c>
      <c r="BC68" s="108">
        <f t="shared" ref="BC68:BC131" si="68">IF(OR(W68=1,W68=2,W68=3,W68=4,W68=5),W68,0)</f>
        <v>3</v>
      </c>
      <c r="BD68" s="108">
        <f t="shared" ref="BD68:BD131" si="69">IF(OR(X68=1,X68=2,X68=3,X68=4,X68=5),X68,0)</f>
        <v>4</v>
      </c>
      <c r="BE68" s="108">
        <f t="shared" ref="BE68:BE131" si="70">IF(OR(Y68=1,Y68=2,Y68=3,Y68=4,Y68=5),Y68,0)</f>
        <v>4</v>
      </c>
      <c r="BF68" s="108">
        <f t="shared" ref="BF68:BF131" si="71">IF(OR(Z68=1,Z68=2,Z68=3,Z68=4,Z68=5),Z68,0)</f>
        <v>3</v>
      </c>
      <c r="BG68" s="108">
        <f t="shared" ref="BG68:BG131" si="72">IF(OR(AA68=1,AA68=2,AA68=3,AA68=4,AA68=5),AA68,0)</f>
        <v>4</v>
      </c>
      <c r="BH68" s="108">
        <f t="shared" si="23"/>
        <v>67</v>
      </c>
      <c r="BJ68" s="108">
        <f t="shared" ref="BJ68:BJ131" si="73">IF(OR(R68=1,R68=2,R68=3,R68=4,R68=5),5,0)</f>
        <v>5</v>
      </c>
      <c r="BK68" s="108">
        <f t="shared" ref="BK68:BK131" si="74">IF(OR(S68=1,S68=2,S68=3,S68=4,S68=5),5,0)</f>
        <v>5</v>
      </c>
      <c r="BL68" s="108">
        <f t="shared" ref="BL68:BL131" si="75">IF(OR(T68=1,T68=2,T68=3,T68=4,T68=5),5,0)</f>
        <v>5</v>
      </c>
      <c r="BM68" s="108">
        <f t="shared" ref="BM68:BM131" si="76">IF(OR(U68=1,U68=2,U68=3,U68=4,U68=5),5,0)</f>
        <v>5</v>
      </c>
      <c r="BN68" s="108">
        <f t="shared" ref="BN68:BN131" si="77">IF(OR(V68=1,V68=2,V68=3,V68=4,V68=5),5,0)</f>
        <v>5</v>
      </c>
      <c r="BO68" s="108">
        <f t="shared" ref="BO68:BO131" si="78">IF(OR(W68=1,W68=2,W68=3,W68=4,W68=5),5,0)</f>
        <v>5</v>
      </c>
      <c r="BP68" s="108">
        <f t="shared" ref="BP68:BP131" si="79">IF(OR(X68=1,X68=2,X68=3,X68=4,X68=5),5,0)</f>
        <v>5</v>
      </c>
      <c r="BQ68" s="108">
        <f t="shared" ref="BQ68:BQ131" si="80">IF(OR(Y68=1,Y68=2,Y68=3,Y68=4,Y68=5),5,0)</f>
        <v>5</v>
      </c>
      <c r="BR68" s="108">
        <f t="shared" ref="BR68:BR131" si="81">IF(OR(Z68=1,Z68=2,Z68=3,Z68=4,Z68=5),5,0)</f>
        <v>5</v>
      </c>
      <c r="BS68" s="108">
        <f t="shared" ref="BS68:BS131" si="82">IF(OR(AA68=1,AA68=2,AA68=3,AA68=4,AA68=5),5,0)</f>
        <v>5</v>
      </c>
      <c r="BT68" s="108">
        <f t="shared" si="24"/>
        <v>100</v>
      </c>
    </row>
    <row r="69" spans="1:72" ht="25" customHeight="1" x14ac:dyDescent="0.3">
      <c r="A69" s="185"/>
      <c r="B69" s="116" t="s">
        <v>1828</v>
      </c>
      <c r="C69" s="126" t="s">
        <v>1829</v>
      </c>
      <c r="D69" s="124" t="s">
        <v>1821</v>
      </c>
      <c r="E69" s="116" t="s">
        <v>697</v>
      </c>
      <c r="F69" s="310">
        <f>7+25.0169/60</f>
        <v>7.416948333333333</v>
      </c>
      <c r="G69" s="310">
        <f>134+29.6933/60</f>
        <v>134.49488833333334</v>
      </c>
      <c r="H69" s="295" t="s">
        <v>307</v>
      </c>
      <c r="I69" s="112"/>
      <c r="J69" s="112" t="s">
        <v>311</v>
      </c>
      <c r="K69" s="295" t="s">
        <v>311</v>
      </c>
      <c r="L69" s="117">
        <v>62</v>
      </c>
      <c r="M69" s="118" t="s">
        <v>308</v>
      </c>
      <c r="N69" s="118" t="s">
        <v>298</v>
      </c>
      <c r="O69" s="118" t="s">
        <v>92</v>
      </c>
      <c r="P69" s="196" t="s">
        <v>322</v>
      </c>
      <c r="Q69" s="118" t="s">
        <v>309</v>
      </c>
      <c r="R69" s="154">
        <v>4</v>
      </c>
      <c r="S69" s="154">
        <v>4</v>
      </c>
      <c r="T69" s="154" t="s">
        <v>92</v>
      </c>
      <c r="U69" s="154">
        <v>4</v>
      </c>
      <c r="V69" s="154">
        <v>4</v>
      </c>
      <c r="W69" s="154">
        <v>4</v>
      </c>
      <c r="X69" s="154" t="s">
        <v>92</v>
      </c>
      <c r="Y69" s="154" t="s">
        <v>92</v>
      </c>
      <c r="Z69" s="154">
        <v>4</v>
      </c>
      <c r="AA69" s="154">
        <v>5</v>
      </c>
      <c r="AB69" s="296">
        <f t="shared" ref="AB69:AB132" si="83">BH69/BT69*100</f>
        <v>85</v>
      </c>
      <c r="AC69" s="297">
        <f t="shared" si="61"/>
        <v>155000</v>
      </c>
      <c r="AD69" s="301">
        <f t="shared" ref="AD69:AD132" si="84">AD$2*AC69</f>
        <v>775</v>
      </c>
      <c r="AE69" s="298"/>
      <c r="AJ69" s="108">
        <f t="shared" si="62"/>
        <v>0</v>
      </c>
      <c r="AK69" s="108">
        <f t="shared" si="62"/>
        <v>0</v>
      </c>
      <c r="AL69" s="108">
        <f t="shared" si="62"/>
        <v>0</v>
      </c>
      <c r="AM69" s="108">
        <f t="shared" si="62"/>
        <v>0</v>
      </c>
      <c r="AN69" s="108">
        <f t="shared" si="62"/>
        <v>0</v>
      </c>
      <c r="AO69" s="108">
        <f t="shared" si="62"/>
        <v>0</v>
      </c>
      <c r="AP69" s="108">
        <f t="shared" si="62"/>
        <v>0</v>
      </c>
      <c r="AQ69" s="108">
        <f t="shared" si="62"/>
        <v>0</v>
      </c>
      <c r="AR69" s="108">
        <f t="shared" si="62"/>
        <v>0</v>
      </c>
      <c r="AX69" s="108">
        <f t="shared" si="63"/>
        <v>4</v>
      </c>
      <c r="AY69" s="108">
        <f t="shared" si="64"/>
        <v>4</v>
      </c>
      <c r="AZ69" s="108">
        <f t="shared" si="65"/>
        <v>0</v>
      </c>
      <c r="BA69" s="108">
        <f t="shared" si="66"/>
        <v>4</v>
      </c>
      <c r="BB69" s="108">
        <f t="shared" si="67"/>
        <v>4</v>
      </c>
      <c r="BC69" s="108">
        <f t="shared" si="68"/>
        <v>4</v>
      </c>
      <c r="BD69" s="108">
        <f t="shared" si="69"/>
        <v>0</v>
      </c>
      <c r="BE69" s="108">
        <f t="shared" si="70"/>
        <v>0</v>
      </c>
      <c r="BF69" s="108">
        <f t="shared" si="71"/>
        <v>4</v>
      </c>
      <c r="BG69" s="108">
        <f t="shared" si="72"/>
        <v>5</v>
      </c>
      <c r="BH69" s="108">
        <f t="shared" ref="BH69:BH132" si="85">AX$2*AX69+AY$2*AY69+AZ$2*AZ69+BA$2*BA69+BB$2*BB69+BC$2*BC69+BD$2*BD69+BE$2*BE69+BF$2*BF69+BG$2*BG69</f>
        <v>68</v>
      </c>
      <c r="BJ69" s="108">
        <f t="shared" si="73"/>
        <v>5</v>
      </c>
      <c r="BK69" s="108">
        <f t="shared" si="74"/>
        <v>5</v>
      </c>
      <c r="BL69" s="108">
        <f t="shared" si="75"/>
        <v>0</v>
      </c>
      <c r="BM69" s="108">
        <f t="shared" si="76"/>
        <v>5</v>
      </c>
      <c r="BN69" s="108">
        <f t="shared" si="77"/>
        <v>5</v>
      </c>
      <c r="BO69" s="108">
        <f t="shared" si="78"/>
        <v>5</v>
      </c>
      <c r="BP69" s="108">
        <f t="shared" si="79"/>
        <v>0</v>
      </c>
      <c r="BQ69" s="108">
        <f t="shared" si="80"/>
        <v>0</v>
      </c>
      <c r="BR69" s="108">
        <f t="shared" si="81"/>
        <v>5</v>
      </c>
      <c r="BS69" s="108">
        <f t="shared" si="82"/>
        <v>5</v>
      </c>
      <c r="BT69" s="108">
        <f t="shared" ref="BT69:BT132" si="86">BJ$2*BJ69+BK$2*BK69+BL$2*BL69+BM$2*BM69+BN$2*BN69+BO$2*BO69+BP$2*BP69+BQ$2*BQ69+BR$2*BR69+BS$2*BS69</f>
        <v>80</v>
      </c>
    </row>
    <row r="70" spans="1:72" ht="25" customHeight="1" x14ac:dyDescent="0.3">
      <c r="A70" s="185"/>
      <c r="B70" s="116" t="s">
        <v>1830</v>
      </c>
      <c r="C70" s="126" t="s">
        <v>1831</v>
      </c>
      <c r="D70" s="124" t="s">
        <v>1821</v>
      </c>
      <c r="E70" s="116" t="s">
        <v>697</v>
      </c>
      <c r="F70" s="310">
        <f>7+25.21806/60</f>
        <v>7.4203010000000003</v>
      </c>
      <c r="G70" s="310">
        <f>134+29.72717/60</f>
        <v>134.49545283333333</v>
      </c>
      <c r="H70" s="295" t="s">
        <v>1601</v>
      </c>
      <c r="I70" s="112"/>
      <c r="J70" s="112" t="s">
        <v>311</v>
      </c>
      <c r="K70" s="295" t="s">
        <v>311</v>
      </c>
      <c r="L70" s="117">
        <v>530</v>
      </c>
      <c r="M70" s="118" t="s">
        <v>308</v>
      </c>
      <c r="N70" s="118" t="s">
        <v>298</v>
      </c>
      <c r="O70" s="118" t="s">
        <v>329</v>
      </c>
      <c r="P70" s="196" t="s">
        <v>322</v>
      </c>
      <c r="Q70" s="118" t="s">
        <v>309</v>
      </c>
      <c r="R70" s="154">
        <v>4</v>
      </c>
      <c r="S70" s="154">
        <v>4</v>
      </c>
      <c r="T70" s="154">
        <v>3</v>
      </c>
      <c r="U70" s="154">
        <v>4</v>
      </c>
      <c r="V70" s="154">
        <v>4</v>
      </c>
      <c r="W70" s="154">
        <v>4</v>
      </c>
      <c r="X70" s="154">
        <v>5</v>
      </c>
      <c r="Y70" s="154">
        <v>5</v>
      </c>
      <c r="Z70" s="154">
        <v>5</v>
      </c>
      <c r="AA70" s="154">
        <v>5</v>
      </c>
      <c r="AB70" s="296">
        <f t="shared" si="83"/>
        <v>85</v>
      </c>
      <c r="AC70" s="297">
        <f t="shared" si="61"/>
        <v>1325000</v>
      </c>
      <c r="AD70" s="301">
        <f t="shared" si="84"/>
        <v>6625</v>
      </c>
      <c r="AE70" s="298"/>
      <c r="AJ70" s="108">
        <f t="shared" si="62"/>
        <v>0</v>
      </c>
      <c r="AK70" s="108">
        <f t="shared" si="62"/>
        <v>0</v>
      </c>
      <c r="AL70" s="108">
        <f t="shared" si="62"/>
        <v>0</v>
      </c>
      <c r="AM70" s="108">
        <f t="shared" si="62"/>
        <v>0</v>
      </c>
      <c r="AN70" s="108">
        <f t="shared" si="62"/>
        <v>0</v>
      </c>
      <c r="AO70" s="108">
        <f t="shared" si="62"/>
        <v>0</v>
      </c>
      <c r="AP70" s="108">
        <f t="shared" si="62"/>
        <v>0</v>
      </c>
      <c r="AQ70" s="108">
        <f t="shared" si="62"/>
        <v>0</v>
      </c>
      <c r="AR70" s="108">
        <f t="shared" si="62"/>
        <v>0</v>
      </c>
      <c r="AX70" s="108">
        <f t="shared" si="63"/>
        <v>4</v>
      </c>
      <c r="AY70" s="108">
        <f t="shared" si="64"/>
        <v>4</v>
      </c>
      <c r="AZ70" s="108">
        <f t="shared" si="65"/>
        <v>3</v>
      </c>
      <c r="BA70" s="108">
        <f t="shared" si="66"/>
        <v>4</v>
      </c>
      <c r="BB70" s="108">
        <f t="shared" si="67"/>
        <v>4</v>
      </c>
      <c r="BC70" s="108">
        <f t="shared" si="68"/>
        <v>4</v>
      </c>
      <c r="BD70" s="108">
        <f t="shared" si="69"/>
        <v>5</v>
      </c>
      <c r="BE70" s="108">
        <f t="shared" si="70"/>
        <v>5</v>
      </c>
      <c r="BF70" s="108">
        <f t="shared" si="71"/>
        <v>5</v>
      </c>
      <c r="BG70" s="108">
        <f t="shared" si="72"/>
        <v>5</v>
      </c>
      <c r="BH70" s="108">
        <f t="shared" si="85"/>
        <v>85</v>
      </c>
      <c r="BJ70" s="108">
        <f t="shared" si="73"/>
        <v>5</v>
      </c>
      <c r="BK70" s="108">
        <f t="shared" si="74"/>
        <v>5</v>
      </c>
      <c r="BL70" s="108">
        <f t="shared" si="75"/>
        <v>5</v>
      </c>
      <c r="BM70" s="108">
        <f t="shared" si="76"/>
        <v>5</v>
      </c>
      <c r="BN70" s="108">
        <f t="shared" si="77"/>
        <v>5</v>
      </c>
      <c r="BO70" s="108">
        <f t="shared" si="78"/>
        <v>5</v>
      </c>
      <c r="BP70" s="108">
        <f t="shared" si="79"/>
        <v>5</v>
      </c>
      <c r="BQ70" s="108">
        <f t="shared" si="80"/>
        <v>5</v>
      </c>
      <c r="BR70" s="108">
        <f t="shared" si="81"/>
        <v>5</v>
      </c>
      <c r="BS70" s="108">
        <f t="shared" si="82"/>
        <v>5</v>
      </c>
      <c r="BT70" s="108">
        <f t="shared" si="86"/>
        <v>100</v>
      </c>
    </row>
    <row r="71" spans="1:72" ht="25" customHeight="1" x14ac:dyDescent="0.3">
      <c r="A71" s="185"/>
      <c r="B71" s="116" t="s">
        <v>1832</v>
      </c>
      <c r="C71" s="126" t="s">
        <v>1833</v>
      </c>
      <c r="D71" s="124" t="s">
        <v>1821</v>
      </c>
      <c r="E71" s="116" t="s">
        <v>1694</v>
      </c>
      <c r="F71" s="310">
        <f>7+25.999/60</f>
        <v>7.4333166666666664</v>
      </c>
      <c r="G71" s="310">
        <f>134+28.91418/60</f>
        <v>134.48190299999999</v>
      </c>
      <c r="H71" s="295" t="s">
        <v>1601</v>
      </c>
      <c r="I71" s="112"/>
      <c r="J71" s="112" t="s">
        <v>311</v>
      </c>
      <c r="K71" s="295" t="s">
        <v>311</v>
      </c>
      <c r="L71" s="117">
        <v>122</v>
      </c>
      <c r="M71" s="118" t="s">
        <v>308</v>
      </c>
      <c r="N71" s="118" t="s">
        <v>298</v>
      </c>
      <c r="O71" s="118" t="s">
        <v>329</v>
      </c>
      <c r="P71" s="196" t="s">
        <v>322</v>
      </c>
      <c r="Q71" s="118" t="s">
        <v>309</v>
      </c>
      <c r="R71" s="154">
        <v>4</v>
      </c>
      <c r="S71" s="154">
        <v>4</v>
      </c>
      <c r="T71" s="154">
        <v>3</v>
      </c>
      <c r="U71" s="154">
        <v>3</v>
      </c>
      <c r="V71" s="154">
        <v>3</v>
      </c>
      <c r="W71" s="154">
        <v>3</v>
      </c>
      <c r="X71" s="154">
        <v>2</v>
      </c>
      <c r="Y71" s="154" t="s">
        <v>92</v>
      </c>
      <c r="Z71" s="154">
        <v>2</v>
      </c>
      <c r="AA71" s="154">
        <v>4</v>
      </c>
      <c r="AB71" s="296">
        <f t="shared" si="83"/>
        <v>70.526315789473685</v>
      </c>
      <c r="AC71" s="297">
        <f t="shared" si="61"/>
        <v>305000</v>
      </c>
      <c r="AD71" s="301">
        <f t="shared" si="84"/>
        <v>1525</v>
      </c>
      <c r="AE71" s="298"/>
      <c r="AJ71" s="108">
        <f t="shared" si="62"/>
        <v>0</v>
      </c>
      <c r="AK71" s="108">
        <f t="shared" si="62"/>
        <v>0</v>
      </c>
      <c r="AL71" s="108">
        <f t="shared" si="62"/>
        <v>0</v>
      </c>
      <c r="AM71" s="108">
        <f t="shared" si="62"/>
        <v>0</v>
      </c>
      <c r="AN71" s="108">
        <f t="shared" si="62"/>
        <v>0</v>
      </c>
      <c r="AO71" s="108">
        <f t="shared" si="62"/>
        <v>0</v>
      </c>
      <c r="AP71" s="108">
        <f t="shared" si="62"/>
        <v>122</v>
      </c>
      <c r="AQ71" s="108">
        <f t="shared" si="62"/>
        <v>0</v>
      </c>
      <c r="AR71" s="108">
        <f t="shared" si="62"/>
        <v>122</v>
      </c>
      <c r="AX71" s="108">
        <f t="shared" si="63"/>
        <v>4</v>
      </c>
      <c r="AY71" s="108">
        <f t="shared" si="64"/>
        <v>4</v>
      </c>
      <c r="AZ71" s="108">
        <f t="shared" si="65"/>
        <v>3</v>
      </c>
      <c r="BA71" s="108">
        <f t="shared" si="66"/>
        <v>3</v>
      </c>
      <c r="BB71" s="108">
        <f t="shared" si="67"/>
        <v>3</v>
      </c>
      <c r="BC71" s="108">
        <f t="shared" si="68"/>
        <v>3</v>
      </c>
      <c r="BD71" s="108">
        <f t="shared" si="69"/>
        <v>2</v>
      </c>
      <c r="BE71" s="108">
        <f t="shared" si="70"/>
        <v>0</v>
      </c>
      <c r="BF71" s="108">
        <f t="shared" si="71"/>
        <v>2</v>
      </c>
      <c r="BG71" s="108">
        <f t="shared" si="72"/>
        <v>4</v>
      </c>
      <c r="BH71" s="108">
        <f t="shared" si="85"/>
        <v>67</v>
      </c>
      <c r="BJ71" s="108">
        <f t="shared" si="73"/>
        <v>5</v>
      </c>
      <c r="BK71" s="108">
        <f t="shared" si="74"/>
        <v>5</v>
      </c>
      <c r="BL71" s="108">
        <f t="shared" si="75"/>
        <v>5</v>
      </c>
      <c r="BM71" s="108">
        <f t="shared" si="76"/>
        <v>5</v>
      </c>
      <c r="BN71" s="108">
        <f t="shared" si="77"/>
        <v>5</v>
      </c>
      <c r="BO71" s="108">
        <f t="shared" si="78"/>
        <v>5</v>
      </c>
      <c r="BP71" s="108">
        <f t="shared" si="79"/>
        <v>5</v>
      </c>
      <c r="BQ71" s="108">
        <f t="shared" si="80"/>
        <v>0</v>
      </c>
      <c r="BR71" s="108">
        <f t="shared" si="81"/>
        <v>5</v>
      </c>
      <c r="BS71" s="108">
        <f t="shared" si="82"/>
        <v>5</v>
      </c>
      <c r="BT71" s="108">
        <f t="shared" si="86"/>
        <v>95</v>
      </c>
    </row>
    <row r="72" spans="1:72" ht="25" customHeight="1" x14ac:dyDescent="0.3">
      <c r="A72" s="185"/>
      <c r="B72" s="116" t="s">
        <v>1834</v>
      </c>
      <c r="C72" s="126" t="s">
        <v>1835</v>
      </c>
      <c r="D72" s="124" t="s">
        <v>1821</v>
      </c>
      <c r="E72" s="116" t="s">
        <v>1694</v>
      </c>
      <c r="F72" s="310">
        <f>7+25.98979/60</f>
        <v>7.4331631666666667</v>
      </c>
      <c r="G72" s="310">
        <f>134+28.91327/60</f>
        <v>134.48188783333333</v>
      </c>
      <c r="H72" s="295" t="s">
        <v>1601</v>
      </c>
      <c r="I72" s="112"/>
      <c r="J72" s="112" t="s">
        <v>311</v>
      </c>
      <c r="K72" s="295" t="s">
        <v>311</v>
      </c>
      <c r="L72" s="117">
        <v>62</v>
      </c>
      <c r="M72" s="118" t="s">
        <v>308</v>
      </c>
      <c r="N72" s="118" t="s">
        <v>298</v>
      </c>
      <c r="O72" s="118" t="s">
        <v>329</v>
      </c>
      <c r="P72" s="196" t="s">
        <v>322</v>
      </c>
      <c r="Q72" s="118" t="s">
        <v>309</v>
      </c>
      <c r="R72" s="154">
        <v>3</v>
      </c>
      <c r="S72" s="154">
        <v>4</v>
      </c>
      <c r="T72" s="154">
        <v>3</v>
      </c>
      <c r="U72" s="154">
        <v>3</v>
      </c>
      <c r="V72" s="154">
        <v>2</v>
      </c>
      <c r="W72" s="154">
        <v>2</v>
      </c>
      <c r="X72" s="154">
        <v>2</v>
      </c>
      <c r="Y72" s="154" t="s">
        <v>92</v>
      </c>
      <c r="Z72" s="154">
        <v>2</v>
      </c>
      <c r="AA72" s="154">
        <v>4</v>
      </c>
      <c r="AB72" s="296">
        <f t="shared" si="83"/>
        <v>65.26315789473685</v>
      </c>
      <c r="AC72" s="297">
        <f t="shared" si="61"/>
        <v>155000</v>
      </c>
      <c r="AD72" s="301">
        <f t="shared" si="84"/>
        <v>775</v>
      </c>
      <c r="AE72" s="463" t="s">
        <v>1821</v>
      </c>
      <c r="AF72" s="463"/>
      <c r="AJ72" s="108">
        <f t="shared" si="62"/>
        <v>0</v>
      </c>
      <c r="AK72" s="108">
        <f t="shared" si="62"/>
        <v>0</v>
      </c>
      <c r="AL72" s="108">
        <f t="shared" si="62"/>
        <v>0</v>
      </c>
      <c r="AM72" s="108">
        <f t="shared" si="62"/>
        <v>0</v>
      </c>
      <c r="AN72" s="108">
        <f t="shared" si="62"/>
        <v>62</v>
      </c>
      <c r="AO72" s="108">
        <f t="shared" si="62"/>
        <v>62</v>
      </c>
      <c r="AP72" s="108">
        <f t="shared" si="62"/>
        <v>62</v>
      </c>
      <c r="AQ72" s="108">
        <f t="shared" si="62"/>
        <v>0</v>
      </c>
      <c r="AR72" s="108">
        <f t="shared" si="62"/>
        <v>62</v>
      </c>
      <c r="AX72" s="108">
        <f t="shared" si="63"/>
        <v>3</v>
      </c>
      <c r="AY72" s="108">
        <f t="shared" si="64"/>
        <v>4</v>
      </c>
      <c r="AZ72" s="108">
        <f t="shared" si="65"/>
        <v>3</v>
      </c>
      <c r="BA72" s="108">
        <f t="shared" si="66"/>
        <v>3</v>
      </c>
      <c r="BB72" s="108">
        <f t="shared" si="67"/>
        <v>2</v>
      </c>
      <c r="BC72" s="108">
        <f t="shared" si="68"/>
        <v>2</v>
      </c>
      <c r="BD72" s="108">
        <f t="shared" si="69"/>
        <v>2</v>
      </c>
      <c r="BE72" s="108">
        <f t="shared" si="70"/>
        <v>0</v>
      </c>
      <c r="BF72" s="108">
        <f t="shared" si="71"/>
        <v>2</v>
      </c>
      <c r="BG72" s="108">
        <f t="shared" si="72"/>
        <v>4</v>
      </c>
      <c r="BH72" s="108">
        <f t="shared" si="85"/>
        <v>62</v>
      </c>
      <c r="BJ72" s="108">
        <f t="shared" si="73"/>
        <v>5</v>
      </c>
      <c r="BK72" s="108">
        <f t="shared" si="74"/>
        <v>5</v>
      </c>
      <c r="BL72" s="108">
        <f t="shared" si="75"/>
        <v>5</v>
      </c>
      <c r="BM72" s="108">
        <f t="shared" si="76"/>
        <v>5</v>
      </c>
      <c r="BN72" s="108">
        <f t="shared" si="77"/>
        <v>5</v>
      </c>
      <c r="BO72" s="108">
        <f t="shared" si="78"/>
        <v>5</v>
      </c>
      <c r="BP72" s="108">
        <f t="shared" si="79"/>
        <v>5</v>
      </c>
      <c r="BQ72" s="108">
        <f t="shared" si="80"/>
        <v>0</v>
      </c>
      <c r="BR72" s="108">
        <f t="shared" si="81"/>
        <v>5</v>
      </c>
      <c r="BS72" s="108">
        <f t="shared" si="82"/>
        <v>5</v>
      </c>
      <c r="BT72" s="108">
        <f t="shared" si="86"/>
        <v>95</v>
      </c>
    </row>
    <row r="73" spans="1:72" ht="25" customHeight="1" x14ac:dyDescent="0.3">
      <c r="A73" s="185"/>
      <c r="B73" s="116"/>
      <c r="C73" s="126"/>
      <c r="D73" s="124"/>
      <c r="E73" s="116"/>
      <c r="F73" s="310"/>
      <c r="G73" s="310"/>
      <c r="H73" s="295"/>
      <c r="I73" s="112"/>
      <c r="J73" s="112"/>
      <c r="K73" s="295"/>
      <c r="L73" s="117"/>
      <c r="M73" s="118"/>
      <c r="N73" s="118"/>
      <c r="O73" s="118"/>
      <c r="P73" s="196"/>
      <c r="Q73" s="118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296"/>
      <c r="AC73" s="297"/>
      <c r="AD73" s="301"/>
      <c r="AE73" s="302">
        <f>SUM(AC65:AC72)</f>
        <v>3915000</v>
      </c>
      <c r="AF73" s="302">
        <f>SUM(AD65:AD72)</f>
        <v>19575</v>
      </c>
      <c r="AG73" s="303"/>
      <c r="AH73" s="303"/>
      <c r="AI73" s="303"/>
      <c r="AJ73" s="304">
        <f>SUM(AJ65:AJ72)*AJ$2*$AS$1</f>
        <v>0</v>
      </c>
      <c r="AK73" s="304">
        <f t="shared" ref="AK73:AR73" si="87">SUM(AK65:AK72)*AK$2*$AS$1</f>
        <v>0</v>
      </c>
      <c r="AL73" s="304">
        <f t="shared" si="87"/>
        <v>0</v>
      </c>
      <c r="AM73" s="304">
        <f t="shared" si="87"/>
        <v>0</v>
      </c>
      <c r="AN73" s="304">
        <f t="shared" si="87"/>
        <v>15500</v>
      </c>
      <c r="AO73" s="304">
        <f t="shared" si="87"/>
        <v>147500</v>
      </c>
      <c r="AP73" s="304">
        <f t="shared" si="87"/>
        <v>32200.000000000004</v>
      </c>
      <c r="AQ73" s="304">
        <f t="shared" si="87"/>
        <v>0</v>
      </c>
      <c r="AR73" s="304">
        <f t="shared" si="87"/>
        <v>32200.000000000004</v>
      </c>
      <c r="AS73" s="305">
        <f>SUM(AJ73:AR73)</f>
        <v>227400</v>
      </c>
      <c r="AX73" s="108">
        <f t="shared" si="63"/>
        <v>0</v>
      </c>
      <c r="AY73" s="108">
        <f t="shared" si="64"/>
        <v>0</v>
      </c>
      <c r="AZ73" s="108">
        <f t="shared" si="65"/>
        <v>0</v>
      </c>
      <c r="BA73" s="108">
        <f t="shared" si="66"/>
        <v>0</v>
      </c>
      <c r="BB73" s="108">
        <f t="shared" si="67"/>
        <v>0</v>
      </c>
      <c r="BC73" s="108">
        <f t="shared" si="68"/>
        <v>0</v>
      </c>
      <c r="BD73" s="108">
        <f t="shared" si="69"/>
        <v>0</v>
      </c>
      <c r="BE73" s="108">
        <f t="shared" si="70"/>
        <v>0</v>
      </c>
      <c r="BF73" s="108">
        <f t="shared" si="71"/>
        <v>0</v>
      </c>
      <c r="BG73" s="108">
        <f t="shared" si="72"/>
        <v>0</v>
      </c>
      <c r="BH73" s="108">
        <f t="shared" si="85"/>
        <v>0</v>
      </c>
      <c r="BJ73" s="108">
        <f t="shared" si="73"/>
        <v>0</v>
      </c>
      <c r="BK73" s="108">
        <f t="shared" si="74"/>
        <v>0</v>
      </c>
      <c r="BL73" s="108">
        <f t="shared" si="75"/>
        <v>0</v>
      </c>
      <c r="BM73" s="108">
        <f t="shared" si="76"/>
        <v>0</v>
      </c>
      <c r="BN73" s="108">
        <f t="shared" si="77"/>
        <v>0</v>
      </c>
      <c r="BO73" s="108">
        <f t="shared" si="78"/>
        <v>0</v>
      </c>
      <c r="BP73" s="108">
        <f t="shared" si="79"/>
        <v>0</v>
      </c>
      <c r="BQ73" s="108">
        <f t="shared" si="80"/>
        <v>0</v>
      </c>
      <c r="BR73" s="108">
        <f t="shared" si="81"/>
        <v>0</v>
      </c>
      <c r="BS73" s="108">
        <f t="shared" si="82"/>
        <v>0</v>
      </c>
      <c r="BT73" s="108">
        <f t="shared" si="86"/>
        <v>0</v>
      </c>
    </row>
    <row r="74" spans="1:72" ht="25" customHeight="1" x14ac:dyDescent="0.3">
      <c r="A74" s="185"/>
      <c r="B74" s="116" t="s">
        <v>1347</v>
      </c>
      <c r="C74" s="126" t="s">
        <v>1836</v>
      </c>
      <c r="D74" s="124" t="s">
        <v>1837</v>
      </c>
      <c r="E74" s="116" t="s">
        <v>739</v>
      </c>
      <c r="F74" s="310">
        <f>7+21.56528/60</f>
        <v>7.3594213333333336</v>
      </c>
      <c r="G74" s="310">
        <f>134+32.71362/60</f>
        <v>134.54522700000001</v>
      </c>
      <c r="H74" s="295" t="s">
        <v>1601</v>
      </c>
      <c r="I74" s="112"/>
      <c r="J74" s="112" t="s">
        <v>311</v>
      </c>
      <c r="K74" s="295" t="s">
        <v>311</v>
      </c>
      <c r="L74" s="117">
        <v>274</v>
      </c>
      <c r="M74" s="118" t="s">
        <v>308</v>
      </c>
      <c r="N74" s="118" t="s">
        <v>298</v>
      </c>
      <c r="O74" s="118" t="s">
        <v>329</v>
      </c>
      <c r="P74" s="196" t="s">
        <v>322</v>
      </c>
      <c r="Q74" s="118" t="s">
        <v>309</v>
      </c>
      <c r="R74" s="154">
        <v>4</v>
      </c>
      <c r="S74" s="154">
        <v>4</v>
      </c>
      <c r="T74" s="154">
        <v>4</v>
      </c>
      <c r="U74" s="154">
        <v>2</v>
      </c>
      <c r="V74" s="154">
        <v>4</v>
      </c>
      <c r="W74" s="154">
        <v>3</v>
      </c>
      <c r="X74" s="154">
        <v>4</v>
      </c>
      <c r="Y74" s="154" t="s">
        <v>92</v>
      </c>
      <c r="Z74" s="154">
        <v>3</v>
      </c>
      <c r="AA74" s="154">
        <v>4</v>
      </c>
      <c r="AB74" s="296">
        <f t="shared" si="83"/>
        <v>75.789473684210535</v>
      </c>
      <c r="AC74" s="297">
        <f t="shared" ref="AC74:AC80" si="88">L74*AC$2</f>
        <v>685000</v>
      </c>
      <c r="AD74" s="301">
        <f t="shared" si="84"/>
        <v>3425</v>
      </c>
      <c r="AE74" s="298"/>
      <c r="AJ74" s="108">
        <f t="shared" ref="AJ74:AR80" si="89">IF(OR(R74=1,R74=2),$L74,0)</f>
        <v>0</v>
      </c>
      <c r="AK74" s="108">
        <f t="shared" si="89"/>
        <v>0</v>
      </c>
      <c r="AL74" s="108">
        <f t="shared" si="89"/>
        <v>0</v>
      </c>
      <c r="AM74" s="108">
        <f t="shared" si="89"/>
        <v>274</v>
      </c>
      <c r="AN74" s="108">
        <f t="shared" si="89"/>
        <v>0</v>
      </c>
      <c r="AO74" s="108">
        <f t="shared" si="89"/>
        <v>0</v>
      </c>
      <c r="AP74" s="108">
        <f t="shared" si="89"/>
        <v>0</v>
      </c>
      <c r="AQ74" s="108">
        <f t="shared" si="89"/>
        <v>0</v>
      </c>
      <c r="AR74" s="108">
        <f t="shared" si="89"/>
        <v>0</v>
      </c>
      <c r="AX74" s="108">
        <f t="shared" si="63"/>
        <v>4</v>
      </c>
      <c r="AY74" s="108">
        <f t="shared" si="64"/>
        <v>4</v>
      </c>
      <c r="AZ74" s="108">
        <f t="shared" si="65"/>
        <v>4</v>
      </c>
      <c r="BA74" s="108">
        <f t="shared" si="66"/>
        <v>2</v>
      </c>
      <c r="BB74" s="108">
        <f t="shared" si="67"/>
        <v>4</v>
      </c>
      <c r="BC74" s="108">
        <f t="shared" si="68"/>
        <v>3</v>
      </c>
      <c r="BD74" s="108">
        <f t="shared" si="69"/>
        <v>4</v>
      </c>
      <c r="BE74" s="108">
        <f t="shared" si="70"/>
        <v>0</v>
      </c>
      <c r="BF74" s="108">
        <f t="shared" si="71"/>
        <v>3</v>
      </c>
      <c r="BG74" s="108">
        <f t="shared" si="72"/>
        <v>4</v>
      </c>
      <c r="BH74" s="108">
        <f t="shared" si="85"/>
        <v>72</v>
      </c>
      <c r="BJ74" s="108">
        <f t="shared" si="73"/>
        <v>5</v>
      </c>
      <c r="BK74" s="108">
        <f t="shared" si="74"/>
        <v>5</v>
      </c>
      <c r="BL74" s="108">
        <f t="shared" si="75"/>
        <v>5</v>
      </c>
      <c r="BM74" s="108">
        <f t="shared" si="76"/>
        <v>5</v>
      </c>
      <c r="BN74" s="108">
        <f t="shared" si="77"/>
        <v>5</v>
      </c>
      <c r="BO74" s="108">
        <f t="shared" si="78"/>
        <v>5</v>
      </c>
      <c r="BP74" s="108">
        <f t="shared" si="79"/>
        <v>5</v>
      </c>
      <c r="BQ74" s="108">
        <f t="shared" si="80"/>
        <v>0</v>
      </c>
      <c r="BR74" s="108">
        <f t="shared" si="81"/>
        <v>5</v>
      </c>
      <c r="BS74" s="108">
        <f t="shared" si="82"/>
        <v>5</v>
      </c>
      <c r="BT74" s="108">
        <f t="shared" si="86"/>
        <v>95</v>
      </c>
    </row>
    <row r="75" spans="1:72" ht="25" customHeight="1" x14ac:dyDescent="0.3">
      <c r="A75" s="185"/>
      <c r="B75" s="116" t="s">
        <v>1698</v>
      </c>
      <c r="C75" s="126" t="s">
        <v>1838</v>
      </c>
      <c r="D75" s="124" t="s">
        <v>1837</v>
      </c>
      <c r="E75" s="116" t="s">
        <v>1839</v>
      </c>
      <c r="F75" s="310">
        <f>7+22.99988/60</f>
        <v>7.3833313333333335</v>
      </c>
      <c r="G75" s="310">
        <f>134+33.50189/60</f>
        <v>134.55836483333334</v>
      </c>
      <c r="H75" s="295" t="s">
        <v>1840</v>
      </c>
      <c r="I75" s="112">
        <v>2003</v>
      </c>
      <c r="J75" s="112" t="s">
        <v>311</v>
      </c>
      <c r="K75" s="295" t="s">
        <v>311</v>
      </c>
      <c r="L75" s="117">
        <v>484</v>
      </c>
      <c r="M75" s="118" t="s">
        <v>308</v>
      </c>
      <c r="N75" s="118" t="s">
        <v>298</v>
      </c>
      <c r="O75" s="118" t="s">
        <v>92</v>
      </c>
      <c r="P75" s="196" t="s">
        <v>322</v>
      </c>
      <c r="Q75" s="118" t="s">
        <v>309</v>
      </c>
      <c r="R75" s="154">
        <v>5</v>
      </c>
      <c r="S75" s="154">
        <v>5</v>
      </c>
      <c r="T75" s="154" t="s">
        <v>92</v>
      </c>
      <c r="U75" s="154">
        <v>4</v>
      </c>
      <c r="V75" s="154">
        <v>5</v>
      </c>
      <c r="W75" s="154">
        <v>4</v>
      </c>
      <c r="X75" s="154">
        <v>5</v>
      </c>
      <c r="Y75" s="154" t="s">
        <v>92</v>
      </c>
      <c r="Z75" s="154">
        <v>5</v>
      </c>
      <c r="AA75" s="154">
        <v>5</v>
      </c>
      <c r="AB75" s="296">
        <f t="shared" si="83"/>
        <v>97.647058823529406</v>
      </c>
      <c r="AC75" s="297">
        <f t="shared" si="88"/>
        <v>1210000</v>
      </c>
      <c r="AD75" s="301">
        <f t="shared" si="84"/>
        <v>6050</v>
      </c>
      <c r="AE75" s="298"/>
      <c r="AJ75" s="108">
        <f t="shared" si="89"/>
        <v>0</v>
      </c>
      <c r="AK75" s="108">
        <f t="shared" si="89"/>
        <v>0</v>
      </c>
      <c r="AL75" s="108">
        <f t="shared" si="89"/>
        <v>0</v>
      </c>
      <c r="AM75" s="108">
        <f t="shared" si="89"/>
        <v>0</v>
      </c>
      <c r="AN75" s="108">
        <f t="shared" si="89"/>
        <v>0</v>
      </c>
      <c r="AO75" s="108">
        <f t="shared" si="89"/>
        <v>0</v>
      </c>
      <c r="AP75" s="108">
        <f t="shared" si="89"/>
        <v>0</v>
      </c>
      <c r="AQ75" s="108">
        <f t="shared" si="89"/>
        <v>0</v>
      </c>
      <c r="AR75" s="108">
        <f t="shared" si="89"/>
        <v>0</v>
      </c>
      <c r="AX75" s="108">
        <f t="shared" si="63"/>
        <v>5</v>
      </c>
      <c r="AY75" s="108">
        <f t="shared" si="64"/>
        <v>5</v>
      </c>
      <c r="AZ75" s="108">
        <f t="shared" si="65"/>
        <v>0</v>
      </c>
      <c r="BA75" s="108">
        <f t="shared" si="66"/>
        <v>4</v>
      </c>
      <c r="BB75" s="108">
        <f t="shared" si="67"/>
        <v>5</v>
      </c>
      <c r="BC75" s="108">
        <f t="shared" si="68"/>
        <v>4</v>
      </c>
      <c r="BD75" s="108">
        <f t="shared" si="69"/>
        <v>5</v>
      </c>
      <c r="BE75" s="108">
        <f t="shared" si="70"/>
        <v>0</v>
      </c>
      <c r="BF75" s="108">
        <f t="shared" si="71"/>
        <v>5</v>
      </c>
      <c r="BG75" s="108">
        <f t="shared" si="72"/>
        <v>5</v>
      </c>
      <c r="BH75" s="108">
        <f t="shared" si="85"/>
        <v>83</v>
      </c>
      <c r="BJ75" s="108">
        <f t="shared" si="73"/>
        <v>5</v>
      </c>
      <c r="BK75" s="108">
        <f t="shared" si="74"/>
        <v>5</v>
      </c>
      <c r="BL75" s="108">
        <f t="shared" si="75"/>
        <v>0</v>
      </c>
      <c r="BM75" s="108">
        <f t="shared" si="76"/>
        <v>5</v>
      </c>
      <c r="BN75" s="108">
        <f t="shared" si="77"/>
        <v>5</v>
      </c>
      <c r="BO75" s="108">
        <f t="shared" si="78"/>
        <v>5</v>
      </c>
      <c r="BP75" s="108">
        <f t="shared" si="79"/>
        <v>5</v>
      </c>
      <c r="BQ75" s="108">
        <f t="shared" si="80"/>
        <v>0</v>
      </c>
      <c r="BR75" s="108">
        <f t="shared" si="81"/>
        <v>5</v>
      </c>
      <c r="BS75" s="108">
        <f t="shared" si="82"/>
        <v>5</v>
      </c>
      <c r="BT75" s="108">
        <f t="shared" si="86"/>
        <v>85</v>
      </c>
    </row>
    <row r="76" spans="1:72" ht="25" customHeight="1" x14ac:dyDescent="0.3">
      <c r="A76" s="185"/>
      <c r="B76" s="116" t="s">
        <v>1841</v>
      </c>
      <c r="C76" s="126" t="s">
        <v>1842</v>
      </c>
      <c r="D76" s="124" t="s">
        <v>1837</v>
      </c>
      <c r="E76" s="116" t="s">
        <v>351</v>
      </c>
      <c r="F76" s="310">
        <f>7+21.703123/60</f>
        <v>7.3617187166666671</v>
      </c>
      <c r="G76" s="310">
        <f>134+31.915743/60</f>
        <v>134.53192905</v>
      </c>
      <c r="H76" s="295" t="s">
        <v>1606</v>
      </c>
      <c r="I76" s="112"/>
      <c r="J76" s="112" t="s">
        <v>311</v>
      </c>
      <c r="K76" s="295" t="s">
        <v>311</v>
      </c>
      <c r="L76" s="117">
        <v>263</v>
      </c>
      <c r="M76" s="118" t="s">
        <v>308</v>
      </c>
      <c r="N76" s="118" t="s">
        <v>298</v>
      </c>
      <c r="O76" s="118" t="s">
        <v>92</v>
      </c>
      <c r="P76" s="196" t="s">
        <v>322</v>
      </c>
      <c r="Q76" s="118" t="s">
        <v>298</v>
      </c>
      <c r="R76" s="154">
        <v>2</v>
      </c>
      <c r="S76" s="154">
        <v>2</v>
      </c>
      <c r="T76" s="154">
        <v>3</v>
      </c>
      <c r="U76" s="154">
        <v>4</v>
      </c>
      <c r="V76" s="154">
        <v>3</v>
      </c>
      <c r="W76" s="154">
        <v>4</v>
      </c>
      <c r="X76" s="154">
        <v>3</v>
      </c>
      <c r="Y76" s="154" t="s">
        <v>92</v>
      </c>
      <c r="Z76" s="154">
        <v>2</v>
      </c>
      <c r="AA76" s="154">
        <v>3</v>
      </c>
      <c r="AB76" s="296">
        <f t="shared" si="83"/>
        <v>52.631578947368418</v>
      </c>
      <c r="AC76" s="297">
        <f t="shared" si="88"/>
        <v>657500</v>
      </c>
      <c r="AD76" s="301">
        <f t="shared" si="84"/>
        <v>3287.5</v>
      </c>
      <c r="AE76" s="298"/>
      <c r="AJ76" s="108">
        <f t="shared" si="89"/>
        <v>263</v>
      </c>
      <c r="AK76" s="108">
        <f t="shared" si="89"/>
        <v>263</v>
      </c>
      <c r="AL76" s="108">
        <f t="shared" si="89"/>
        <v>0</v>
      </c>
      <c r="AM76" s="108">
        <f t="shared" si="89"/>
        <v>0</v>
      </c>
      <c r="AN76" s="108">
        <f t="shared" si="89"/>
        <v>0</v>
      </c>
      <c r="AO76" s="108">
        <f t="shared" si="89"/>
        <v>0</v>
      </c>
      <c r="AP76" s="108">
        <f t="shared" si="89"/>
        <v>0</v>
      </c>
      <c r="AQ76" s="108">
        <f t="shared" si="89"/>
        <v>0</v>
      </c>
      <c r="AR76" s="108">
        <f t="shared" si="89"/>
        <v>263</v>
      </c>
      <c r="AX76" s="108">
        <f t="shared" si="63"/>
        <v>2</v>
      </c>
      <c r="AY76" s="108">
        <f t="shared" si="64"/>
        <v>2</v>
      </c>
      <c r="AZ76" s="108">
        <f t="shared" si="65"/>
        <v>3</v>
      </c>
      <c r="BA76" s="108">
        <f t="shared" si="66"/>
        <v>4</v>
      </c>
      <c r="BB76" s="108">
        <f t="shared" si="67"/>
        <v>3</v>
      </c>
      <c r="BC76" s="108">
        <f t="shared" si="68"/>
        <v>4</v>
      </c>
      <c r="BD76" s="108">
        <f t="shared" si="69"/>
        <v>3</v>
      </c>
      <c r="BE76" s="108">
        <f t="shared" si="70"/>
        <v>0</v>
      </c>
      <c r="BF76" s="108">
        <f t="shared" si="71"/>
        <v>2</v>
      </c>
      <c r="BG76" s="108">
        <f t="shared" si="72"/>
        <v>3</v>
      </c>
      <c r="BH76" s="108">
        <f t="shared" si="85"/>
        <v>50</v>
      </c>
      <c r="BJ76" s="108">
        <f t="shared" si="73"/>
        <v>5</v>
      </c>
      <c r="BK76" s="108">
        <f t="shared" si="74"/>
        <v>5</v>
      </c>
      <c r="BL76" s="108">
        <f t="shared" si="75"/>
        <v>5</v>
      </c>
      <c r="BM76" s="108">
        <f t="shared" si="76"/>
        <v>5</v>
      </c>
      <c r="BN76" s="108">
        <f t="shared" si="77"/>
        <v>5</v>
      </c>
      <c r="BO76" s="108">
        <f t="shared" si="78"/>
        <v>5</v>
      </c>
      <c r="BP76" s="108">
        <f t="shared" si="79"/>
        <v>5</v>
      </c>
      <c r="BQ76" s="108">
        <f t="shared" si="80"/>
        <v>0</v>
      </c>
      <c r="BR76" s="108">
        <f t="shared" si="81"/>
        <v>5</v>
      </c>
      <c r="BS76" s="108">
        <f t="shared" si="82"/>
        <v>5</v>
      </c>
      <c r="BT76" s="108">
        <f t="shared" si="86"/>
        <v>95</v>
      </c>
    </row>
    <row r="77" spans="1:72" ht="25" customHeight="1" x14ac:dyDescent="0.3">
      <c r="A77" s="185"/>
      <c r="B77" s="116" t="s">
        <v>1843</v>
      </c>
      <c r="C77" s="126" t="s">
        <v>1844</v>
      </c>
      <c r="D77" s="124" t="s">
        <v>1837</v>
      </c>
      <c r="E77" s="116" t="s">
        <v>351</v>
      </c>
      <c r="F77" s="310">
        <f>7+21.68532/60</f>
        <v>7.3614220000000001</v>
      </c>
      <c r="G77" s="310">
        <f>134+31.89789/60</f>
        <v>134.5316315</v>
      </c>
      <c r="H77" s="295" t="s">
        <v>1845</v>
      </c>
      <c r="I77" s="112"/>
      <c r="J77" s="112">
        <v>2018</v>
      </c>
      <c r="K77" s="295" t="s">
        <v>1846</v>
      </c>
      <c r="L77" s="117">
        <v>214</v>
      </c>
      <c r="M77" s="118" t="s">
        <v>308</v>
      </c>
      <c r="N77" s="118" t="s">
        <v>298</v>
      </c>
      <c r="O77" s="118" t="s">
        <v>92</v>
      </c>
      <c r="P77" s="196" t="s">
        <v>322</v>
      </c>
      <c r="Q77" s="118" t="s">
        <v>298</v>
      </c>
      <c r="R77" s="154">
        <v>5</v>
      </c>
      <c r="S77" s="154">
        <v>5</v>
      </c>
      <c r="T77" s="154">
        <v>5</v>
      </c>
      <c r="U77" s="154">
        <v>5</v>
      </c>
      <c r="V77" s="154">
        <v>5</v>
      </c>
      <c r="W77" s="154">
        <v>5</v>
      </c>
      <c r="X77" s="154">
        <v>5</v>
      </c>
      <c r="Y77" s="154">
        <v>5</v>
      </c>
      <c r="Z77" s="154">
        <v>5</v>
      </c>
      <c r="AA77" s="154">
        <v>5</v>
      </c>
      <c r="AB77" s="296">
        <f t="shared" si="83"/>
        <v>100</v>
      </c>
      <c r="AC77" s="297">
        <f t="shared" si="88"/>
        <v>535000</v>
      </c>
      <c r="AD77" s="301">
        <f t="shared" si="84"/>
        <v>2675</v>
      </c>
      <c r="AE77" s="298"/>
      <c r="AJ77" s="108">
        <f t="shared" si="89"/>
        <v>0</v>
      </c>
      <c r="AK77" s="108">
        <f t="shared" si="89"/>
        <v>0</v>
      </c>
      <c r="AL77" s="108">
        <f t="shared" si="89"/>
        <v>0</v>
      </c>
      <c r="AM77" s="108">
        <f t="shared" si="89"/>
        <v>0</v>
      </c>
      <c r="AN77" s="108">
        <f t="shared" si="89"/>
        <v>0</v>
      </c>
      <c r="AO77" s="108">
        <f t="shared" si="89"/>
        <v>0</v>
      </c>
      <c r="AP77" s="108">
        <f t="shared" si="89"/>
        <v>0</v>
      </c>
      <c r="AQ77" s="108">
        <f t="shared" si="89"/>
        <v>0</v>
      </c>
      <c r="AR77" s="108">
        <f t="shared" si="89"/>
        <v>0</v>
      </c>
      <c r="AX77" s="108">
        <f t="shared" si="63"/>
        <v>5</v>
      </c>
      <c r="AY77" s="108">
        <f t="shared" si="64"/>
        <v>5</v>
      </c>
      <c r="AZ77" s="108">
        <f t="shared" si="65"/>
        <v>5</v>
      </c>
      <c r="BA77" s="108">
        <f t="shared" si="66"/>
        <v>5</v>
      </c>
      <c r="BB77" s="108">
        <f t="shared" si="67"/>
        <v>5</v>
      </c>
      <c r="BC77" s="108">
        <f t="shared" si="68"/>
        <v>5</v>
      </c>
      <c r="BD77" s="108">
        <f t="shared" si="69"/>
        <v>5</v>
      </c>
      <c r="BE77" s="108">
        <f t="shared" si="70"/>
        <v>5</v>
      </c>
      <c r="BF77" s="108">
        <f t="shared" si="71"/>
        <v>5</v>
      </c>
      <c r="BG77" s="108">
        <f t="shared" si="72"/>
        <v>5</v>
      </c>
      <c r="BH77" s="108">
        <f t="shared" si="85"/>
        <v>100</v>
      </c>
      <c r="BJ77" s="108">
        <f t="shared" si="73"/>
        <v>5</v>
      </c>
      <c r="BK77" s="108">
        <f t="shared" si="74"/>
        <v>5</v>
      </c>
      <c r="BL77" s="108">
        <f t="shared" si="75"/>
        <v>5</v>
      </c>
      <c r="BM77" s="108">
        <f t="shared" si="76"/>
        <v>5</v>
      </c>
      <c r="BN77" s="108">
        <f t="shared" si="77"/>
        <v>5</v>
      </c>
      <c r="BO77" s="108">
        <f t="shared" si="78"/>
        <v>5</v>
      </c>
      <c r="BP77" s="108">
        <f t="shared" si="79"/>
        <v>5</v>
      </c>
      <c r="BQ77" s="108">
        <f t="shared" si="80"/>
        <v>5</v>
      </c>
      <c r="BR77" s="108">
        <f t="shared" si="81"/>
        <v>5</v>
      </c>
      <c r="BS77" s="108">
        <f t="shared" si="82"/>
        <v>5</v>
      </c>
      <c r="BT77" s="108">
        <f t="shared" si="86"/>
        <v>100</v>
      </c>
    </row>
    <row r="78" spans="1:72" ht="25" customHeight="1" x14ac:dyDescent="0.3">
      <c r="A78" s="185"/>
      <c r="B78" s="116" t="s">
        <v>1847</v>
      </c>
      <c r="C78" s="126" t="s">
        <v>1848</v>
      </c>
      <c r="D78" s="124" t="s">
        <v>1837</v>
      </c>
      <c r="E78" s="116" t="s">
        <v>351</v>
      </c>
      <c r="F78" s="310">
        <f>7+21.57432/60</f>
        <v>7.359572</v>
      </c>
      <c r="G78" s="310">
        <f>134+32.66992/60</f>
        <v>134.54449866666667</v>
      </c>
      <c r="H78" s="295" t="s">
        <v>1601</v>
      </c>
      <c r="I78" s="112"/>
      <c r="J78" s="112" t="s">
        <v>311</v>
      </c>
      <c r="K78" s="295" t="s">
        <v>311</v>
      </c>
      <c r="L78" s="117">
        <v>147</v>
      </c>
      <c r="M78" s="118" t="s">
        <v>308</v>
      </c>
      <c r="N78" s="118" t="s">
        <v>298</v>
      </c>
      <c r="O78" s="118" t="s">
        <v>329</v>
      </c>
      <c r="P78" s="196" t="s">
        <v>322</v>
      </c>
      <c r="Q78" s="118" t="s">
        <v>309</v>
      </c>
      <c r="R78" s="154">
        <v>3</v>
      </c>
      <c r="S78" s="154">
        <v>3</v>
      </c>
      <c r="T78" s="154">
        <v>1</v>
      </c>
      <c r="U78" s="154">
        <v>1</v>
      </c>
      <c r="V78" s="154">
        <v>4</v>
      </c>
      <c r="W78" s="154">
        <v>3</v>
      </c>
      <c r="X78" s="154">
        <v>1</v>
      </c>
      <c r="Y78" s="154" t="s">
        <v>92</v>
      </c>
      <c r="Z78" s="154">
        <v>1</v>
      </c>
      <c r="AA78" s="154">
        <v>2</v>
      </c>
      <c r="AB78" s="296">
        <f t="shared" si="83"/>
        <v>46.315789473684212</v>
      </c>
      <c r="AC78" s="297">
        <f t="shared" si="88"/>
        <v>367500</v>
      </c>
      <c r="AD78" s="301">
        <f t="shared" si="84"/>
        <v>1837.5</v>
      </c>
      <c r="AE78" s="298"/>
      <c r="AJ78" s="108">
        <f t="shared" si="89"/>
        <v>0</v>
      </c>
      <c r="AK78" s="108">
        <f t="shared" si="89"/>
        <v>0</v>
      </c>
      <c r="AL78" s="108">
        <f t="shared" si="89"/>
        <v>147</v>
      </c>
      <c r="AM78" s="108">
        <f t="shared" si="89"/>
        <v>147</v>
      </c>
      <c r="AN78" s="108">
        <f t="shared" si="89"/>
        <v>0</v>
      </c>
      <c r="AO78" s="108">
        <f t="shared" si="89"/>
        <v>0</v>
      </c>
      <c r="AP78" s="108">
        <f t="shared" si="89"/>
        <v>147</v>
      </c>
      <c r="AQ78" s="108">
        <f t="shared" si="89"/>
        <v>0</v>
      </c>
      <c r="AR78" s="108">
        <f t="shared" si="89"/>
        <v>147</v>
      </c>
      <c r="AX78" s="108">
        <f t="shared" si="63"/>
        <v>3</v>
      </c>
      <c r="AY78" s="108">
        <f t="shared" si="64"/>
        <v>3</v>
      </c>
      <c r="AZ78" s="108">
        <f t="shared" si="65"/>
        <v>1</v>
      </c>
      <c r="BA78" s="108">
        <f t="shared" si="66"/>
        <v>1</v>
      </c>
      <c r="BB78" s="108">
        <f t="shared" si="67"/>
        <v>4</v>
      </c>
      <c r="BC78" s="108">
        <f t="shared" si="68"/>
        <v>3</v>
      </c>
      <c r="BD78" s="108">
        <f t="shared" si="69"/>
        <v>1</v>
      </c>
      <c r="BE78" s="108">
        <f t="shared" si="70"/>
        <v>0</v>
      </c>
      <c r="BF78" s="108">
        <f t="shared" si="71"/>
        <v>1</v>
      </c>
      <c r="BG78" s="108">
        <f t="shared" si="72"/>
        <v>2</v>
      </c>
      <c r="BH78" s="108">
        <f t="shared" si="85"/>
        <v>44</v>
      </c>
      <c r="BJ78" s="108">
        <f t="shared" si="73"/>
        <v>5</v>
      </c>
      <c r="BK78" s="108">
        <f t="shared" si="74"/>
        <v>5</v>
      </c>
      <c r="BL78" s="108">
        <f t="shared" si="75"/>
        <v>5</v>
      </c>
      <c r="BM78" s="108">
        <f t="shared" si="76"/>
        <v>5</v>
      </c>
      <c r="BN78" s="108">
        <f t="shared" si="77"/>
        <v>5</v>
      </c>
      <c r="BO78" s="108">
        <f t="shared" si="78"/>
        <v>5</v>
      </c>
      <c r="BP78" s="108">
        <f t="shared" si="79"/>
        <v>5</v>
      </c>
      <c r="BQ78" s="108">
        <f t="shared" si="80"/>
        <v>0</v>
      </c>
      <c r="BR78" s="108">
        <f t="shared" si="81"/>
        <v>5</v>
      </c>
      <c r="BS78" s="108">
        <f t="shared" si="82"/>
        <v>5</v>
      </c>
      <c r="BT78" s="108">
        <f t="shared" si="86"/>
        <v>95</v>
      </c>
    </row>
    <row r="79" spans="1:72" ht="25" customHeight="1" x14ac:dyDescent="0.3">
      <c r="A79" s="185"/>
      <c r="B79" s="116" t="s">
        <v>1849</v>
      </c>
      <c r="C79" s="126" t="s">
        <v>1850</v>
      </c>
      <c r="D79" s="124" t="s">
        <v>1837</v>
      </c>
      <c r="E79" s="116" t="s">
        <v>1639</v>
      </c>
      <c r="F79" s="310">
        <f>7+21.89667/60</f>
        <v>7.3649445</v>
      </c>
      <c r="G79" s="310">
        <f>134+31.37146/60</f>
        <v>134.52285766666665</v>
      </c>
      <c r="H79" s="295" t="s">
        <v>853</v>
      </c>
      <c r="I79" s="112" t="s">
        <v>502</v>
      </c>
      <c r="J79" s="112" t="s">
        <v>311</v>
      </c>
      <c r="K79" s="295" t="s">
        <v>311</v>
      </c>
      <c r="L79" s="117">
        <v>234</v>
      </c>
      <c r="M79" s="118" t="s">
        <v>308</v>
      </c>
      <c r="N79" s="118" t="s">
        <v>298</v>
      </c>
      <c r="O79" s="118" t="s">
        <v>329</v>
      </c>
      <c r="P79" s="196" t="s">
        <v>328</v>
      </c>
      <c r="Q79" s="118" t="s">
        <v>309</v>
      </c>
      <c r="R79" s="154">
        <v>1</v>
      </c>
      <c r="S79" s="154">
        <v>1</v>
      </c>
      <c r="T79" s="154">
        <v>2</v>
      </c>
      <c r="U79" s="154">
        <v>2</v>
      </c>
      <c r="V79" s="154">
        <v>2</v>
      </c>
      <c r="W79" s="154">
        <v>2</v>
      </c>
      <c r="X79" s="154">
        <v>3</v>
      </c>
      <c r="Y79" s="154" t="s">
        <v>92</v>
      </c>
      <c r="Z79" s="154">
        <v>3</v>
      </c>
      <c r="AA79" s="154">
        <v>2</v>
      </c>
      <c r="AB79" s="296">
        <f t="shared" si="83"/>
        <v>33.684210526315788</v>
      </c>
      <c r="AC79" s="297">
        <f t="shared" si="88"/>
        <v>585000</v>
      </c>
      <c r="AD79" s="301">
        <f t="shared" si="84"/>
        <v>2925</v>
      </c>
      <c r="AE79" s="298"/>
      <c r="AJ79" s="108">
        <f t="shared" si="89"/>
        <v>234</v>
      </c>
      <c r="AK79" s="108">
        <f t="shared" si="89"/>
        <v>234</v>
      </c>
      <c r="AL79" s="108">
        <f t="shared" si="89"/>
        <v>234</v>
      </c>
      <c r="AM79" s="108">
        <f t="shared" si="89"/>
        <v>234</v>
      </c>
      <c r="AN79" s="108">
        <f t="shared" si="89"/>
        <v>234</v>
      </c>
      <c r="AO79" s="108">
        <f t="shared" si="89"/>
        <v>234</v>
      </c>
      <c r="AP79" s="108">
        <f t="shared" si="89"/>
        <v>0</v>
      </c>
      <c r="AQ79" s="108">
        <f t="shared" si="89"/>
        <v>0</v>
      </c>
      <c r="AR79" s="108">
        <f t="shared" si="89"/>
        <v>0</v>
      </c>
      <c r="AX79" s="108">
        <f t="shared" si="63"/>
        <v>1</v>
      </c>
      <c r="AY79" s="108">
        <f t="shared" si="64"/>
        <v>1</v>
      </c>
      <c r="AZ79" s="108">
        <f t="shared" si="65"/>
        <v>2</v>
      </c>
      <c r="BA79" s="108">
        <f t="shared" si="66"/>
        <v>2</v>
      </c>
      <c r="BB79" s="108">
        <f t="shared" si="67"/>
        <v>2</v>
      </c>
      <c r="BC79" s="108">
        <f t="shared" si="68"/>
        <v>2</v>
      </c>
      <c r="BD79" s="108">
        <f t="shared" si="69"/>
        <v>3</v>
      </c>
      <c r="BE79" s="108">
        <f t="shared" si="70"/>
        <v>0</v>
      </c>
      <c r="BF79" s="108">
        <f t="shared" si="71"/>
        <v>3</v>
      </c>
      <c r="BG79" s="108">
        <f t="shared" si="72"/>
        <v>2</v>
      </c>
      <c r="BH79" s="108">
        <f t="shared" si="85"/>
        <v>32</v>
      </c>
      <c r="BJ79" s="108">
        <f t="shared" si="73"/>
        <v>5</v>
      </c>
      <c r="BK79" s="108">
        <f t="shared" si="74"/>
        <v>5</v>
      </c>
      <c r="BL79" s="108">
        <f t="shared" si="75"/>
        <v>5</v>
      </c>
      <c r="BM79" s="108">
        <f t="shared" si="76"/>
        <v>5</v>
      </c>
      <c r="BN79" s="108">
        <f t="shared" si="77"/>
        <v>5</v>
      </c>
      <c r="BO79" s="108">
        <f t="shared" si="78"/>
        <v>5</v>
      </c>
      <c r="BP79" s="108">
        <f t="shared" si="79"/>
        <v>5</v>
      </c>
      <c r="BQ79" s="108">
        <f t="shared" si="80"/>
        <v>0</v>
      </c>
      <c r="BR79" s="108">
        <f t="shared" si="81"/>
        <v>5</v>
      </c>
      <c r="BS79" s="108">
        <f t="shared" si="82"/>
        <v>5</v>
      </c>
      <c r="BT79" s="108">
        <f t="shared" si="86"/>
        <v>95</v>
      </c>
    </row>
    <row r="80" spans="1:72" ht="25" customHeight="1" x14ac:dyDescent="0.3">
      <c r="A80" s="185" t="s">
        <v>1851</v>
      </c>
      <c r="B80" s="116" t="s">
        <v>1852</v>
      </c>
      <c r="C80" s="126" t="s">
        <v>1853</v>
      </c>
      <c r="D80" s="124" t="s">
        <v>1837</v>
      </c>
      <c r="E80" s="116" t="s">
        <v>1247</v>
      </c>
      <c r="F80" s="310">
        <f>7+21.5118/60</f>
        <v>7.35853</v>
      </c>
      <c r="G80" s="310">
        <f>134+33.6795/60</f>
        <v>134.56132500000001</v>
      </c>
      <c r="H80" s="295" t="s">
        <v>1601</v>
      </c>
      <c r="I80" s="112"/>
      <c r="J80" s="112" t="s">
        <v>311</v>
      </c>
      <c r="K80" s="295" t="s">
        <v>311</v>
      </c>
      <c r="L80" s="117">
        <v>62</v>
      </c>
      <c r="M80" s="118" t="s">
        <v>308</v>
      </c>
      <c r="N80" s="118" t="s">
        <v>298</v>
      </c>
      <c r="O80" s="118" t="s">
        <v>92</v>
      </c>
      <c r="P80" s="196" t="s">
        <v>322</v>
      </c>
      <c r="Q80" s="118" t="s">
        <v>309</v>
      </c>
      <c r="R80" s="154">
        <v>2</v>
      </c>
      <c r="S80" s="154">
        <v>2</v>
      </c>
      <c r="T80" s="154" t="s">
        <v>92</v>
      </c>
      <c r="U80" s="154">
        <v>2</v>
      </c>
      <c r="V80" s="154">
        <v>3</v>
      </c>
      <c r="W80" s="154">
        <v>2</v>
      </c>
      <c r="X80" s="154">
        <v>2</v>
      </c>
      <c r="Y80" s="154" t="s">
        <v>92</v>
      </c>
      <c r="Z80" s="154">
        <v>1</v>
      </c>
      <c r="AA80" s="154">
        <v>2</v>
      </c>
      <c r="AB80" s="296">
        <f t="shared" si="83"/>
        <v>40</v>
      </c>
      <c r="AC80" s="297">
        <f t="shared" si="88"/>
        <v>155000</v>
      </c>
      <c r="AD80" s="301">
        <f t="shared" si="84"/>
        <v>775</v>
      </c>
      <c r="AE80" s="463" t="s">
        <v>1837</v>
      </c>
      <c r="AF80" s="463"/>
      <c r="AJ80" s="108">
        <f t="shared" si="89"/>
        <v>62</v>
      </c>
      <c r="AK80" s="108">
        <f t="shared" si="89"/>
        <v>62</v>
      </c>
      <c r="AL80" s="108">
        <f t="shared" si="89"/>
        <v>0</v>
      </c>
      <c r="AM80" s="108">
        <f t="shared" si="89"/>
        <v>62</v>
      </c>
      <c r="AN80" s="108">
        <f t="shared" si="89"/>
        <v>0</v>
      </c>
      <c r="AO80" s="108">
        <f t="shared" si="89"/>
        <v>62</v>
      </c>
      <c r="AP80" s="108">
        <f t="shared" si="89"/>
        <v>62</v>
      </c>
      <c r="AQ80" s="108">
        <f t="shared" si="89"/>
        <v>0</v>
      </c>
      <c r="AR80" s="108">
        <f t="shared" si="89"/>
        <v>62</v>
      </c>
      <c r="AX80" s="108">
        <f t="shared" si="63"/>
        <v>2</v>
      </c>
      <c r="AY80" s="108">
        <f t="shared" si="64"/>
        <v>2</v>
      </c>
      <c r="AZ80" s="108">
        <f t="shared" si="65"/>
        <v>0</v>
      </c>
      <c r="BA80" s="108">
        <f t="shared" si="66"/>
        <v>2</v>
      </c>
      <c r="BB80" s="108">
        <f t="shared" si="67"/>
        <v>3</v>
      </c>
      <c r="BC80" s="108">
        <f t="shared" si="68"/>
        <v>2</v>
      </c>
      <c r="BD80" s="108">
        <f t="shared" si="69"/>
        <v>2</v>
      </c>
      <c r="BE80" s="108">
        <f t="shared" si="70"/>
        <v>0</v>
      </c>
      <c r="BF80" s="108">
        <f t="shared" si="71"/>
        <v>1</v>
      </c>
      <c r="BG80" s="108">
        <f t="shared" si="72"/>
        <v>2</v>
      </c>
      <c r="BH80" s="108">
        <f t="shared" si="85"/>
        <v>34</v>
      </c>
      <c r="BJ80" s="108">
        <f t="shared" si="73"/>
        <v>5</v>
      </c>
      <c r="BK80" s="108">
        <f t="shared" si="74"/>
        <v>5</v>
      </c>
      <c r="BL80" s="108">
        <f t="shared" si="75"/>
        <v>0</v>
      </c>
      <c r="BM80" s="108">
        <f t="shared" si="76"/>
        <v>5</v>
      </c>
      <c r="BN80" s="108">
        <f t="shared" si="77"/>
        <v>5</v>
      </c>
      <c r="BO80" s="108">
        <f t="shared" si="78"/>
        <v>5</v>
      </c>
      <c r="BP80" s="108">
        <f t="shared" si="79"/>
        <v>5</v>
      </c>
      <c r="BQ80" s="108">
        <f t="shared" si="80"/>
        <v>0</v>
      </c>
      <c r="BR80" s="108">
        <f t="shared" si="81"/>
        <v>5</v>
      </c>
      <c r="BS80" s="108">
        <f t="shared" si="82"/>
        <v>5</v>
      </c>
      <c r="BT80" s="108">
        <f t="shared" si="86"/>
        <v>85</v>
      </c>
    </row>
    <row r="81" spans="1:72" ht="25" customHeight="1" x14ac:dyDescent="0.3">
      <c r="A81" s="185"/>
      <c r="B81" s="116"/>
      <c r="C81" s="126"/>
      <c r="D81" s="124"/>
      <c r="E81" s="116"/>
      <c r="F81" s="310"/>
      <c r="G81" s="310"/>
      <c r="H81" s="295"/>
      <c r="I81" s="112"/>
      <c r="J81" s="112"/>
      <c r="K81" s="295"/>
      <c r="L81" s="117"/>
      <c r="M81" s="118"/>
      <c r="N81" s="118"/>
      <c r="O81" s="118"/>
      <c r="P81" s="196"/>
      <c r="Q81" s="118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296"/>
      <c r="AC81" s="297"/>
      <c r="AD81" s="301"/>
      <c r="AE81" s="302">
        <f>SUM(AC74:AC80)</f>
        <v>4195000</v>
      </c>
      <c r="AF81" s="302">
        <f>SUM(AD74:AD80)</f>
        <v>20975</v>
      </c>
      <c r="AG81" s="303"/>
      <c r="AH81" s="303"/>
      <c r="AI81" s="303"/>
      <c r="AJ81" s="304">
        <f>SUM(AJ74:AJ80)*AJ$2*$AS$1</f>
        <v>139750</v>
      </c>
      <c r="AK81" s="304">
        <f t="shared" ref="AK81:AR81" si="90">SUM(AK74:AK80)*AK$2*$AS$1</f>
        <v>279500</v>
      </c>
      <c r="AL81" s="304">
        <f t="shared" si="90"/>
        <v>95250</v>
      </c>
      <c r="AM81" s="304">
        <f t="shared" si="90"/>
        <v>179250</v>
      </c>
      <c r="AN81" s="304">
        <f t="shared" si="90"/>
        <v>58500.000000000007</v>
      </c>
      <c r="AO81" s="304">
        <f t="shared" si="90"/>
        <v>148000</v>
      </c>
      <c r="AP81" s="304">
        <f t="shared" si="90"/>
        <v>36575</v>
      </c>
      <c r="AQ81" s="304">
        <f t="shared" si="90"/>
        <v>0</v>
      </c>
      <c r="AR81" s="304">
        <f t="shared" si="90"/>
        <v>82600.000000000015</v>
      </c>
      <c r="AS81" s="305">
        <f>SUM(AJ81:AR81)</f>
        <v>1019425</v>
      </c>
      <c r="AX81" s="108">
        <f t="shared" si="63"/>
        <v>0</v>
      </c>
      <c r="AY81" s="108">
        <f t="shared" si="64"/>
        <v>0</v>
      </c>
      <c r="AZ81" s="108">
        <f t="shared" si="65"/>
        <v>0</v>
      </c>
      <c r="BA81" s="108">
        <f t="shared" si="66"/>
        <v>0</v>
      </c>
      <c r="BB81" s="108">
        <f t="shared" si="67"/>
        <v>0</v>
      </c>
      <c r="BC81" s="108">
        <f t="shared" si="68"/>
        <v>0</v>
      </c>
      <c r="BD81" s="108">
        <f t="shared" si="69"/>
        <v>0</v>
      </c>
      <c r="BE81" s="108">
        <f t="shared" si="70"/>
        <v>0</v>
      </c>
      <c r="BF81" s="108">
        <f t="shared" si="71"/>
        <v>0</v>
      </c>
      <c r="BG81" s="108">
        <f t="shared" si="72"/>
        <v>0</v>
      </c>
      <c r="BH81" s="108">
        <f t="shared" si="85"/>
        <v>0</v>
      </c>
      <c r="BJ81" s="108">
        <f t="shared" si="73"/>
        <v>0</v>
      </c>
      <c r="BK81" s="108">
        <f t="shared" si="74"/>
        <v>0</v>
      </c>
      <c r="BL81" s="108">
        <f t="shared" si="75"/>
        <v>0</v>
      </c>
      <c r="BM81" s="108">
        <f t="shared" si="76"/>
        <v>0</v>
      </c>
      <c r="BN81" s="108">
        <f t="shared" si="77"/>
        <v>0</v>
      </c>
      <c r="BO81" s="108">
        <f t="shared" si="78"/>
        <v>0</v>
      </c>
      <c r="BP81" s="108">
        <f t="shared" si="79"/>
        <v>0</v>
      </c>
      <c r="BQ81" s="108">
        <f t="shared" si="80"/>
        <v>0</v>
      </c>
      <c r="BR81" s="108">
        <f t="shared" si="81"/>
        <v>0</v>
      </c>
      <c r="BS81" s="108">
        <f t="shared" si="82"/>
        <v>0</v>
      </c>
      <c r="BT81" s="108">
        <f t="shared" si="86"/>
        <v>0</v>
      </c>
    </row>
    <row r="82" spans="1:72" ht="25" customHeight="1" x14ac:dyDescent="0.3">
      <c r="A82" s="185"/>
      <c r="B82" s="116" t="s">
        <v>1854</v>
      </c>
      <c r="C82" s="126" t="s">
        <v>1855</v>
      </c>
      <c r="D82" s="124" t="s">
        <v>1856</v>
      </c>
      <c r="E82" s="116" t="s">
        <v>827</v>
      </c>
      <c r="F82" s="310">
        <f>7+2/60+55/3600</f>
        <v>7.0486111111111107</v>
      </c>
      <c r="G82" s="310">
        <f>134+15/60+59/3600</f>
        <v>134.26638888888888</v>
      </c>
      <c r="H82" s="295" t="s">
        <v>853</v>
      </c>
      <c r="I82" s="112">
        <v>2002</v>
      </c>
      <c r="J82" s="112" t="s">
        <v>311</v>
      </c>
      <c r="K82" s="295" t="s">
        <v>311</v>
      </c>
      <c r="L82" s="117">
        <v>304</v>
      </c>
      <c r="M82" s="118" t="s">
        <v>308</v>
      </c>
      <c r="N82" s="118" t="s">
        <v>298</v>
      </c>
      <c r="O82" s="118" t="s">
        <v>329</v>
      </c>
      <c r="P82" s="196" t="s">
        <v>322</v>
      </c>
      <c r="Q82" s="118" t="s">
        <v>309</v>
      </c>
      <c r="R82" s="154">
        <v>5</v>
      </c>
      <c r="S82" s="154">
        <v>5</v>
      </c>
      <c r="T82" s="154">
        <v>5</v>
      </c>
      <c r="U82" s="154">
        <v>5</v>
      </c>
      <c r="V82" s="154">
        <v>4</v>
      </c>
      <c r="W82" s="154">
        <v>4</v>
      </c>
      <c r="X82" s="154">
        <v>5</v>
      </c>
      <c r="Y82" s="154">
        <v>4</v>
      </c>
      <c r="Z82" s="154">
        <v>4</v>
      </c>
      <c r="AA82" s="154">
        <v>5</v>
      </c>
      <c r="AB82" s="296">
        <f t="shared" si="83"/>
        <v>96</v>
      </c>
      <c r="AC82" s="297">
        <f t="shared" ref="AC82:AC87" si="91">L82*AC$2</f>
        <v>760000</v>
      </c>
      <c r="AD82" s="301">
        <f t="shared" si="84"/>
        <v>3800</v>
      </c>
      <c r="AE82" s="298"/>
      <c r="AJ82" s="108">
        <f t="shared" ref="AJ82:AR87" si="92">IF(OR(R82=1,R82=2),$L82,0)</f>
        <v>0</v>
      </c>
      <c r="AK82" s="108">
        <f t="shared" si="92"/>
        <v>0</v>
      </c>
      <c r="AL82" s="108">
        <f t="shared" si="92"/>
        <v>0</v>
      </c>
      <c r="AM82" s="108">
        <f t="shared" si="92"/>
        <v>0</v>
      </c>
      <c r="AN82" s="108">
        <f t="shared" si="92"/>
        <v>0</v>
      </c>
      <c r="AO82" s="108">
        <f t="shared" si="92"/>
        <v>0</v>
      </c>
      <c r="AP82" s="108">
        <f t="shared" si="92"/>
        <v>0</v>
      </c>
      <c r="AQ82" s="108">
        <f t="shared" si="92"/>
        <v>0</v>
      </c>
      <c r="AR82" s="108">
        <f t="shared" si="92"/>
        <v>0</v>
      </c>
      <c r="AX82" s="108">
        <f t="shared" si="63"/>
        <v>5</v>
      </c>
      <c r="AY82" s="108">
        <f t="shared" si="64"/>
        <v>5</v>
      </c>
      <c r="AZ82" s="108">
        <f t="shared" si="65"/>
        <v>5</v>
      </c>
      <c r="BA82" s="108">
        <f t="shared" si="66"/>
        <v>5</v>
      </c>
      <c r="BB82" s="108">
        <f t="shared" si="67"/>
        <v>4</v>
      </c>
      <c r="BC82" s="108">
        <f t="shared" si="68"/>
        <v>4</v>
      </c>
      <c r="BD82" s="108">
        <f t="shared" si="69"/>
        <v>5</v>
      </c>
      <c r="BE82" s="108">
        <f t="shared" si="70"/>
        <v>4</v>
      </c>
      <c r="BF82" s="108">
        <f t="shared" si="71"/>
        <v>4</v>
      </c>
      <c r="BG82" s="108">
        <f t="shared" si="72"/>
        <v>5</v>
      </c>
      <c r="BH82" s="108">
        <f t="shared" si="85"/>
        <v>96</v>
      </c>
      <c r="BJ82" s="108">
        <f t="shared" si="73"/>
        <v>5</v>
      </c>
      <c r="BK82" s="108">
        <f t="shared" si="74"/>
        <v>5</v>
      </c>
      <c r="BL82" s="108">
        <f t="shared" si="75"/>
        <v>5</v>
      </c>
      <c r="BM82" s="108">
        <f t="shared" si="76"/>
        <v>5</v>
      </c>
      <c r="BN82" s="108">
        <f t="shared" si="77"/>
        <v>5</v>
      </c>
      <c r="BO82" s="108">
        <f t="shared" si="78"/>
        <v>5</v>
      </c>
      <c r="BP82" s="108">
        <f t="shared" si="79"/>
        <v>5</v>
      </c>
      <c r="BQ82" s="108">
        <f t="shared" si="80"/>
        <v>5</v>
      </c>
      <c r="BR82" s="108">
        <f t="shared" si="81"/>
        <v>5</v>
      </c>
      <c r="BS82" s="108">
        <f t="shared" si="82"/>
        <v>5</v>
      </c>
      <c r="BT82" s="108">
        <f t="shared" si="86"/>
        <v>100</v>
      </c>
    </row>
    <row r="83" spans="1:72" ht="25" customHeight="1" x14ac:dyDescent="0.3">
      <c r="A83" s="185"/>
      <c r="B83" s="116" t="s">
        <v>1857</v>
      </c>
      <c r="C83" s="126" t="s">
        <v>1858</v>
      </c>
      <c r="D83" s="124" t="s">
        <v>1856</v>
      </c>
      <c r="E83" s="116" t="s">
        <v>828</v>
      </c>
      <c r="F83" s="310">
        <f>7+2/60+31/3600</f>
        <v>7.0419444444444439</v>
      </c>
      <c r="G83" s="310">
        <f>134+15/60+26/3600</f>
        <v>134.25722222222223</v>
      </c>
      <c r="H83" s="295" t="s">
        <v>853</v>
      </c>
      <c r="I83" s="112">
        <v>2015</v>
      </c>
      <c r="J83" s="112" t="s">
        <v>311</v>
      </c>
      <c r="K83" s="295" t="s">
        <v>311</v>
      </c>
      <c r="L83" s="117">
        <v>1204</v>
      </c>
      <c r="M83" s="118" t="s">
        <v>308</v>
      </c>
      <c r="N83" s="118" t="s">
        <v>298</v>
      </c>
      <c r="O83" s="118" t="s">
        <v>329</v>
      </c>
      <c r="P83" s="196" t="s">
        <v>322</v>
      </c>
      <c r="Q83" s="118" t="s">
        <v>309</v>
      </c>
      <c r="R83" s="154">
        <v>5</v>
      </c>
      <c r="S83" s="154">
        <v>5</v>
      </c>
      <c r="T83" s="154">
        <v>5</v>
      </c>
      <c r="U83" s="154">
        <v>5</v>
      </c>
      <c r="V83" s="154">
        <v>5</v>
      </c>
      <c r="W83" s="154">
        <v>5</v>
      </c>
      <c r="X83" s="154">
        <v>5</v>
      </c>
      <c r="Y83" s="154">
        <v>5</v>
      </c>
      <c r="Z83" s="154">
        <v>5</v>
      </c>
      <c r="AA83" s="154">
        <v>5</v>
      </c>
      <c r="AB83" s="296">
        <f t="shared" si="83"/>
        <v>100</v>
      </c>
      <c r="AC83" s="297">
        <f t="shared" si="91"/>
        <v>3010000</v>
      </c>
      <c r="AD83" s="315">
        <f t="shared" si="84"/>
        <v>15050</v>
      </c>
      <c r="AE83" s="298"/>
      <c r="AJ83" s="108">
        <f t="shared" si="92"/>
        <v>0</v>
      </c>
      <c r="AK83" s="108">
        <f t="shared" si="92"/>
        <v>0</v>
      </c>
      <c r="AL83" s="108">
        <f t="shared" si="92"/>
        <v>0</v>
      </c>
      <c r="AM83" s="108">
        <f t="shared" si="92"/>
        <v>0</v>
      </c>
      <c r="AN83" s="108">
        <f t="shared" si="92"/>
        <v>0</v>
      </c>
      <c r="AO83" s="108">
        <f t="shared" si="92"/>
        <v>0</v>
      </c>
      <c r="AP83" s="108">
        <f t="shared" si="92"/>
        <v>0</v>
      </c>
      <c r="AQ83" s="108">
        <f t="shared" si="92"/>
        <v>0</v>
      </c>
      <c r="AR83" s="108">
        <f t="shared" si="92"/>
        <v>0</v>
      </c>
      <c r="AX83" s="108">
        <f t="shared" si="63"/>
        <v>5</v>
      </c>
      <c r="AY83" s="108">
        <f t="shared" si="64"/>
        <v>5</v>
      </c>
      <c r="AZ83" s="108">
        <f t="shared" si="65"/>
        <v>5</v>
      </c>
      <c r="BA83" s="108">
        <f t="shared" si="66"/>
        <v>5</v>
      </c>
      <c r="BB83" s="108">
        <f t="shared" si="67"/>
        <v>5</v>
      </c>
      <c r="BC83" s="108">
        <f t="shared" si="68"/>
        <v>5</v>
      </c>
      <c r="BD83" s="108">
        <f t="shared" si="69"/>
        <v>5</v>
      </c>
      <c r="BE83" s="108">
        <f t="shared" si="70"/>
        <v>5</v>
      </c>
      <c r="BF83" s="108">
        <f t="shared" si="71"/>
        <v>5</v>
      </c>
      <c r="BG83" s="108">
        <f t="shared" si="72"/>
        <v>5</v>
      </c>
      <c r="BH83" s="108">
        <f t="shared" si="85"/>
        <v>100</v>
      </c>
      <c r="BJ83" s="108">
        <f t="shared" si="73"/>
        <v>5</v>
      </c>
      <c r="BK83" s="108">
        <f t="shared" si="74"/>
        <v>5</v>
      </c>
      <c r="BL83" s="108">
        <f t="shared" si="75"/>
        <v>5</v>
      </c>
      <c r="BM83" s="108">
        <f t="shared" si="76"/>
        <v>5</v>
      </c>
      <c r="BN83" s="108">
        <f t="shared" si="77"/>
        <v>5</v>
      </c>
      <c r="BO83" s="108">
        <f t="shared" si="78"/>
        <v>5</v>
      </c>
      <c r="BP83" s="108">
        <f t="shared" si="79"/>
        <v>5</v>
      </c>
      <c r="BQ83" s="108">
        <f t="shared" si="80"/>
        <v>5</v>
      </c>
      <c r="BR83" s="108">
        <f t="shared" si="81"/>
        <v>5</v>
      </c>
      <c r="BS83" s="108">
        <f t="shared" si="82"/>
        <v>5</v>
      </c>
      <c r="BT83" s="108">
        <f t="shared" si="86"/>
        <v>100</v>
      </c>
    </row>
    <row r="84" spans="1:72" ht="25" customHeight="1" x14ac:dyDescent="0.3">
      <c r="A84" s="185"/>
      <c r="B84" s="116" t="s">
        <v>1859</v>
      </c>
      <c r="C84" s="126" t="s">
        <v>1860</v>
      </c>
      <c r="D84" s="124" t="s">
        <v>1856</v>
      </c>
      <c r="E84" s="116" t="s">
        <v>828</v>
      </c>
      <c r="F84" s="310">
        <f>7+2/60+29/3600</f>
        <v>7.0413888888888891</v>
      </c>
      <c r="G84" s="310">
        <f>134+15/60+27/3600</f>
        <v>134.25749999999999</v>
      </c>
      <c r="H84" s="295" t="s">
        <v>1601</v>
      </c>
      <c r="I84" s="112" t="s">
        <v>502</v>
      </c>
      <c r="J84" s="112" t="s">
        <v>311</v>
      </c>
      <c r="K84" s="295" t="s">
        <v>311</v>
      </c>
      <c r="L84" s="117">
        <v>338</v>
      </c>
      <c r="M84" s="118" t="s">
        <v>308</v>
      </c>
      <c r="N84" s="118" t="s">
        <v>298</v>
      </c>
      <c r="O84" s="118" t="s">
        <v>329</v>
      </c>
      <c r="P84" s="196" t="s">
        <v>322</v>
      </c>
      <c r="Q84" s="118" t="s">
        <v>309</v>
      </c>
      <c r="R84" s="154">
        <v>4</v>
      </c>
      <c r="S84" s="154">
        <v>4</v>
      </c>
      <c r="T84" s="154">
        <v>3</v>
      </c>
      <c r="U84" s="154">
        <v>3</v>
      </c>
      <c r="V84" s="154">
        <v>4</v>
      </c>
      <c r="W84" s="154">
        <v>4</v>
      </c>
      <c r="X84" s="154">
        <v>4</v>
      </c>
      <c r="Y84" s="154">
        <v>4</v>
      </c>
      <c r="Z84" s="154">
        <v>3</v>
      </c>
      <c r="AA84" s="154">
        <v>4</v>
      </c>
      <c r="AB84" s="296">
        <f t="shared" si="83"/>
        <v>76</v>
      </c>
      <c r="AC84" s="297">
        <f t="shared" si="91"/>
        <v>845000</v>
      </c>
      <c r="AD84" s="301">
        <f t="shared" si="84"/>
        <v>4225</v>
      </c>
      <c r="AE84" s="298"/>
      <c r="AJ84" s="108">
        <f t="shared" si="92"/>
        <v>0</v>
      </c>
      <c r="AK84" s="108">
        <f t="shared" si="92"/>
        <v>0</v>
      </c>
      <c r="AL84" s="108">
        <f t="shared" si="92"/>
        <v>0</v>
      </c>
      <c r="AM84" s="108">
        <f t="shared" si="92"/>
        <v>0</v>
      </c>
      <c r="AN84" s="108">
        <f t="shared" si="92"/>
        <v>0</v>
      </c>
      <c r="AO84" s="108">
        <f t="shared" si="92"/>
        <v>0</v>
      </c>
      <c r="AP84" s="108">
        <f t="shared" si="92"/>
        <v>0</v>
      </c>
      <c r="AQ84" s="108">
        <f t="shared" si="92"/>
        <v>0</v>
      </c>
      <c r="AR84" s="108">
        <f t="shared" si="92"/>
        <v>0</v>
      </c>
      <c r="AX84" s="108">
        <f t="shared" si="63"/>
        <v>4</v>
      </c>
      <c r="AY84" s="108">
        <f t="shared" si="64"/>
        <v>4</v>
      </c>
      <c r="AZ84" s="108">
        <f t="shared" si="65"/>
        <v>3</v>
      </c>
      <c r="BA84" s="108">
        <f t="shared" si="66"/>
        <v>3</v>
      </c>
      <c r="BB84" s="108">
        <f t="shared" si="67"/>
        <v>4</v>
      </c>
      <c r="BC84" s="108">
        <f t="shared" si="68"/>
        <v>4</v>
      </c>
      <c r="BD84" s="108">
        <f t="shared" si="69"/>
        <v>4</v>
      </c>
      <c r="BE84" s="108">
        <f t="shared" si="70"/>
        <v>4</v>
      </c>
      <c r="BF84" s="108">
        <f t="shared" si="71"/>
        <v>3</v>
      </c>
      <c r="BG84" s="108">
        <f t="shared" si="72"/>
        <v>4</v>
      </c>
      <c r="BH84" s="108">
        <f t="shared" si="85"/>
        <v>76</v>
      </c>
      <c r="BJ84" s="108">
        <f t="shared" si="73"/>
        <v>5</v>
      </c>
      <c r="BK84" s="108">
        <f t="shared" si="74"/>
        <v>5</v>
      </c>
      <c r="BL84" s="108">
        <f t="shared" si="75"/>
        <v>5</v>
      </c>
      <c r="BM84" s="108">
        <f t="shared" si="76"/>
        <v>5</v>
      </c>
      <c r="BN84" s="108">
        <f t="shared" si="77"/>
        <v>5</v>
      </c>
      <c r="BO84" s="108">
        <f t="shared" si="78"/>
        <v>5</v>
      </c>
      <c r="BP84" s="108">
        <f t="shared" si="79"/>
        <v>5</v>
      </c>
      <c r="BQ84" s="108">
        <f t="shared" si="80"/>
        <v>5</v>
      </c>
      <c r="BR84" s="108">
        <f t="shared" si="81"/>
        <v>5</v>
      </c>
      <c r="BS84" s="108">
        <f t="shared" si="82"/>
        <v>5</v>
      </c>
      <c r="BT84" s="108">
        <f t="shared" si="86"/>
        <v>100</v>
      </c>
    </row>
    <row r="85" spans="1:72" ht="25" customHeight="1" x14ac:dyDescent="0.3">
      <c r="A85" s="185"/>
      <c r="B85" s="116" t="s">
        <v>1861</v>
      </c>
      <c r="C85" s="126" t="s">
        <v>1862</v>
      </c>
      <c r="D85" s="124" t="s">
        <v>1856</v>
      </c>
      <c r="E85" s="116" t="s">
        <v>828</v>
      </c>
      <c r="F85" s="310">
        <f>7+2/60+22/3600</f>
        <v>7.0394444444444444</v>
      </c>
      <c r="G85" s="310">
        <f>134+15/60+34/3600</f>
        <v>134.25944444444445</v>
      </c>
      <c r="H85" s="295" t="s">
        <v>1601</v>
      </c>
      <c r="I85" s="112" t="s">
        <v>502</v>
      </c>
      <c r="J85" s="112" t="s">
        <v>311</v>
      </c>
      <c r="K85" s="295" t="s">
        <v>311</v>
      </c>
      <c r="L85" s="117">
        <v>690</v>
      </c>
      <c r="M85" s="118" t="s">
        <v>308</v>
      </c>
      <c r="N85" s="118" t="s">
        <v>298</v>
      </c>
      <c r="O85" s="118" t="s">
        <v>329</v>
      </c>
      <c r="P85" s="196" t="s">
        <v>322</v>
      </c>
      <c r="Q85" s="118" t="s">
        <v>309</v>
      </c>
      <c r="R85" s="154">
        <v>4</v>
      </c>
      <c r="S85" s="154">
        <v>4</v>
      </c>
      <c r="T85" s="154">
        <v>3</v>
      </c>
      <c r="U85" s="154">
        <v>3</v>
      </c>
      <c r="V85" s="154">
        <v>3</v>
      </c>
      <c r="W85" s="154">
        <v>2</v>
      </c>
      <c r="X85" s="154">
        <v>3</v>
      </c>
      <c r="Y85" s="154" t="s">
        <v>92</v>
      </c>
      <c r="Z85" s="154">
        <v>3</v>
      </c>
      <c r="AA85" s="154">
        <v>3</v>
      </c>
      <c r="AB85" s="296">
        <f t="shared" si="83"/>
        <v>67.368421052631575</v>
      </c>
      <c r="AC85" s="297">
        <f t="shared" si="91"/>
        <v>1725000</v>
      </c>
      <c r="AD85" s="301">
        <f t="shared" si="84"/>
        <v>8625</v>
      </c>
      <c r="AE85" s="298"/>
      <c r="AJ85" s="108">
        <f t="shared" si="92"/>
        <v>0</v>
      </c>
      <c r="AK85" s="108">
        <f t="shared" si="92"/>
        <v>0</v>
      </c>
      <c r="AL85" s="108">
        <f t="shared" si="92"/>
        <v>0</v>
      </c>
      <c r="AM85" s="108">
        <f t="shared" si="92"/>
        <v>0</v>
      </c>
      <c r="AN85" s="108">
        <f t="shared" si="92"/>
        <v>0</v>
      </c>
      <c r="AO85" s="108">
        <f t="shared" si="92"/>
        <v>690</v>
      </c>
      <c r="AP85" s="108">
        <f t="shared" si="92"/>
        <v>0</v>
      </c>
      <c r="AQ85" s="108">
        <f t="shared" si="92"/>
        <v>0</v>
      </c>
      <c r="AR85" s="108">
        <f t="shared" si="92"/>
        <v>0</v>
      </c>
      <c r="AX85" s="108">
        <f t="shared" si="63"/>
        <v>4</v>
      </c>
      <c r="AY85" s="108">
        <f t="shared" si="64"/>
        <v>4</v>
      </c>
      <c r="AZ85" s="108">
        <f t="shared" si="65"/>
        <v>3</v>
      </c>
      <c r="BA85" s="108">
        <f t="shared" si="66"/>
        <v>3</v>
      </c>
      <c r="BB85" s="108">
        <f t="shared" si="67"/>
        <v>3</v>
      </c>
      <c r="BC85" s="108">
        <f t="shared" si="68"/>
        <v>2</v>
      </c>
      <c r="BD85" s="108">
        <f t="shared" si="69"/>
        <v>3</v>
      </c>
      <c r="BE85" s="108">
        <f t="shared" si="70"/>
        <v>0</v>
      </c>
      <c r="BF85" s="108">
        <f t="shared" si="71"/>
        <v>3</v>
      </c>
      <c r="BG85" s="108">
        <f t="shared" si="72"/>
        <v>3</v>
      </c>
      <c r="BH85" s="108">
        <f t="shared" si="85"/>
        <v>64</v>
      </c>
      <c r="BJ85" s="108">
        <f t="shared" si="73"/>
        <v>5</v>
      </c>
      <c r="BK85" s="108">
        <f t="shared" si="74"/>
        <v>5</v>
      </c>
      <c r="BL85" s="108">
        <f t="shared" si="75"/>
        <v>5</v>
      </c>
      <c r="BM85" s="108">
        <f t="shared" si="76"/>
        <v>5</v>
      </c>
      <c r="BN85" s="108">
        <f t="shared" si="77"/>
        <v>5</v>
      </c>
      <c r="BO85" s="108">
        <f t="shared" si="78"/>
        <v>5</v>
      </c>
      <c r="BP85" s="108">
        <f t="shared" si="79"/>
        <v>5</v>
      </c>
      <c r="BQ85" s="108">
        <f t="shared" si="80"/>
        <v>0</v>
      </c>
      <c r="BR85" s="108">
        <f t="shared" si="81"/>
        <v>5</v>
      </c>
      <c r="BS85" s="108">
        <f t="shared" si="82"/>
        <v>5</v>
      </c>
      <c r="BT85" s="108">
        <f t="shared" si="86"/>
        <v>95</v>
      </c>
    </row>
    <row r="86" spans="1:72" ht="25" customHeight="1" x14ac:dyDescent="0.3">
      <c r="A86" s="185"/>
      <c r="B86" s="116" t="s">
        <v>1863</v>
      </c>
      <c r="C86" s="126" t="s">
        <v>1864</v>
      </c>
      <c r="D86" s="124" t="s">
        <v>1856</v>
      </c>
      <c r="E86" s="116" t="s">
        <v>1865</v>
      </c>
      <c r="F86" s="310">
        <f>7+0/60+22/3600</f>
        <v>7.0061111111111112</v>
      </c>
      <c r="G86" s="310">
        <f>134+33/60+34/3600</f>
        <v>134.55944444444447</v>
      </c>
      <c r="H86" s="295" t="s">
        <v>1866</v>
      </c>
      <c r="I86" s="112" t="s">
        <v>1361</v>
      </c>
      <c r="J86" s="112" t="s">
        <v>311</v>
      </c>
      <c r="K86" s="295" t="s">
        <v>311</v>
      </c>
      <c r="L86" s="117">
        <v>244</v>
      </c>
      <c r="M86" s="118" t="s">
        <v>308</v>
      </c>
      <c r="N86" s="118" t="s">
        <v>298</v>
      </c>
      <c r="O86" s="118" t="s">
        <v>1867</v>
      </c>
      <c r="P86" s="196" t="s">
        <v>322</v>
      </c>
      <c r="Q86" s="118" t="s">
        <v>334</v>
      </c>
      <c r="R86" s="154">
        <v>5</v>
      </c>
      <c r="S86" s="154">
        <v>3</v>
      </c>
      <c r="T86" s="154">
        <v>2</v>
      </c>
      <c r="U86" s="154">
        <v>2</v>
      </c>
      <c r="V86" s="154">
        <v>3</v>
      </c>
      <c r="W86" s="154">
        <v>2</v>
      </c>
      <c r="X86" s="154">
        <v>2</v>
      </c>
      <c r="Y86" s="154">
        <v>4</v>
      </c>
      <c r="Z86" s="154">
        <v>3</v>
      </c>
      <c r="AA86" s="154">
        <v>4</v>
      </c>
      <c r="AB86" s="296">
        <f t="shared" si="83"/>
        <v>66</v>
      </c>
      <c r="AC86" s="297">
        <f t="shared" si="91"/>
        <v>610000</v>
      </c>
      <c r="AD86" s="301">
        <f t="shared" si="84"/>
        <v>3050</v>
      </c>
      <c r="AE86" s="298"/>
      <c r="AJ86" s="108">
        <f t="shared" si="92"/>
        <v>0</v>
      </c>
      <c r="AK86" s="108">
        <f t="shared" si="92"/>
        <v>0</v>
      </c>
      <c r="AL86" s="108">
        <f t="shared" si="92"/>
        <v>244</v>
      </c>
      <c r="AM86" s="108">
        <f t="shared" si="92"/>
        <v>244</v>
      </c>
      <c r="AN86" s="108">
        <f t="shared" si="92"/>
        <v>0</v>
      </c>
      <c r="AO86" s="108">
        <f t="shared" si="92"/>
        <v>244</v>
      </c>
      <c r="AP86" s="108">
        <f t="shared" si="92"/>
        <v>244</v>
      </c>
      <c r="AQ86" s="108">
        <f t="shared" si="92"/>
        <v>0</v>
      </c>
      <c r="AR86" s="108">
        <f t="shared" si="92"/>
        <v>0</v>
      </c>
      <c r="AX86" s="108">
        <f t="shared" si="63"/>
        <v>5</v>
      </c>
      <c r="AY86" s="108">
        <f t="shared" si="64"/>
        <v>3</v>
      </c>
      <c r="AZ86" s="108">
        <f t="shared" si="65"/>
        <v>2</v>
      </c>
      <c r="BA86" s="108">
        <f t="shared" si="66"/>
        <v>2</v>
      </c>
      <c r="BB86" s="108">
        <f t="shared" si="67"/>
        <v>3</v>
      </c>
      <c r="BC86" s="108">
        <f t="shared" si="68"/>
        <v>2</v>
      </c>
      <c r="BD86" s="108">
        <f t="shared" si="69"/>
        <v>2</v>
      </c>
      <c r="BE86" s="108">
        <f t="shared" si="70"/>
        <v>4</v>
      </c>
      <c r="BF86" s="108">
        <f t="shared" si="71"/>
        <v>3</v>
      </c>
      <c r="BG86" s="108">
        <f t="shared" si="72"/>
        <v>4</v>
      </c>
      <c r="BH86" s="108">
        <f t="shared" si="85"/>
        <v>66</v>
      </c>
      <c r="BJ86" s="108">
        <f t="shared" si="73"/>
        <v>5</v>
      </c>
      <c r="BK86" s="108">
        <f t="shared" si="74"/>
        <v>5</v>
      </c>
      <c r="BL86" s="108">
        <f t="shared" si="75"/>
        <v>5</v>
      </c>
      <c r="BM86" s="108">
        <f t="shared" si="76"/>
        <v>5</v>
      </c>
      <c r="BN86" s="108">
        <f t="shared" si="77"/>
        <v>5</v>
      </c>
      <c r="BO86" s="108">
        <f t="shared" si="78"/>
        <v>5</v>
      </c>
      <c r="BP86" s="108">
        <f t="shared" si="79"/>
        <v>5</v>
      </c>
      <c r="BQ86" s="108">
        <f t="shared" si="80"/>
        <v>5</v>
      </c>
      <c r="BR86" s="108">
        <f t="shared" si="81"/>
        <v>5</v>
      </c>
      <c r="BS86" s="108">
        <f t="shared" si="82"/>
        <v>5</v>
      </c>
      <c r="BT86" s="108">
        <f t="shared" si="86"/>
        <v>100</v>
      </c>
    </row>
    <row r="87" spans="1:72" ht="25" customHeight="1" x14ac:dyDescent="0.3">
      <c r="A87" s="185"/>
      <c r="B87" s="116" t="s">
        <v>1868</v>
      </c>
      <c r="C87" s="126" t="s">
        <v>1869</v>
      </c>
      <c r="D87" s="124" t="s">
        <v>1856</v>
      </c>
      <c r="E87" s="116" t="s">
        <v>1865</v>
      </c>
      <c r="F87" s="310">
        <f>6+59/60+8/3600</f>
        <v>6.985555555555556</v>
      </c>
      <c r="G87" s="310">
        <f>134+13/60+15/3600</f>
        <v>134.22083333333333</v>
      </c>
      <c r="H87" s="295" t="s">
        <v>326</v>
      </c>
      <c r="I87" s="112">
        <v>2014</v>
      </c>
      <c r="J87" s="112" t="s">
        <v>311</v>
      </c>
      <c r="K87" s="295" t="s">
        <v>311</v>
      </c>
      <c r="L87" s="117">
        <v>107</v>
      </c>
      <c r="M87" s="118" t="s">
        <v>308</v>
      </c>
      <c r="N87" s="118" t="s">
        <v>314</v>
      </c>
      <c r="O87" s="118" t="s">
        <v>1870</v>
      </c>
      <c r="P87" s="196" t="s">
        <v>1871</v>
      </c>
      <c r="Q87" s="118" t="s">
        <v>309</v>
      </c>
      <c r="R87" s="154">
        <v>5</v>
      </c>
      <c r="S87" s="154">
        <v>4</v>
      </c>
      <c r="T87" s="154">
        <v>3</v>
      </c>
      <c r="U87" s="154">
        <v>3</v>
      </c>
      <c r="V87" s="154">
        <v>3</v>
      </c>
      <c r="W87" s="154">
        <v>3</v>
      </c>
      <c r="X87" s="154">
        <v>3</v>
      </c>
      <c r="Y87" s="154">
        <v>3</v>
      </c>
      <c r="Z87" s="154">
        <v>3</v>
      </c>
      <c r="AA87" s="154">
        <v>3</v>
      </c>
      <c r="AB87" s="296">
        <f t="shared" si="83"/>
        <v>71</v>
      </c>
      <c r="AC87" s="297">
        <f t="shared" si="91"/>
        <v>267500</v>
      </c>
      <c r="AD87" s="301">
        <f t="shared" si="84"/>
        <v>1337.5</v>
      </c>
      <c r="AE87" s="463" t="s">
        <v>1856</v>
      </c>
      <c r="AF87" s="463"/>
      <c r="AJ87" s="108">
        <f t="shared" si="92"/>
        <v>0</v>
      </c>
      <c r="AK87" s="108">
        <f t="shared" si="92"/>
        <v>0</v>
      </c>
      <c r="AL87" s="108">
        <f t="shared" si="92"/>
        <v>0</v>
      </c>
      <c r="AM87" s="108">
        <f t="shared" si="92"/>
        <v>0</v>
      </c>
      <c r="AN87" s="108">
        <f t="shared" si="92"/>
        <v>0</v>
      </c>
      <c r="AO87" s="108">
        <f t="shared" si="92"/>
        <v>0</v>
      </c>
      <c r="AP87" s="108">
        <f t="shared" si="92"/>
        <v>0</v>
      </c>
      <c r="AQ87" s="108">
        <f t="shared" si="92"/>
        <v>0</v>
      </c>
      <c r="AR87" s="108">
        <f t="shared" si="92"/>
        <v>0</v>
      </c>
      <c r="AX87" s="108">
        <f t="shared" si="63"/>
        <v>5</v>
      </c>
      <c r="AY87" s="108">
        <f t="shared" si="64"/>
        <v>4</v>
      </c>
      <c r="AZ87" s="108">
        <f t="shared" si="65"/>
        <v>3</v>
      </c>
      <c r="BA87" s="108">
        <f t="shared" si="66"/>
        <v>3</v>
      </c>
      <c r="BB87" s="108">
        <f t="shared" si="67"/>
        <v>3</v>
      </c>
      <c r="BC87" s="108">
        <f t="shared" si="68"/>
        <v>3</v>
      </c>
      <c r="BD87" s="108">
        <f t="shared" si="69"/>
        <v>3</v>
      </c>
      <c r="BE87" s="108">
        <f t="shared" si="70"/>
        <v>3</v>
      </c>
      <c r="BF87" s="108">
        <f t="shared" si="71"/>
        <v>3</v>
      </c>
      <c r="BG87" s="108">
        <f t="shared" si="72"/>
        <v>3</v>
      </c>
      <c r="BH87" s="108">
        <f t="shared" si="85"/>
        <v>71</v>
      </c>
      <c r="BJ87" s="108">
        <f t="shared" si="73"/>
        <v>5</v>
      </c>
      <c r="BK87" s="108">
        <f t="shared" si="74"/>
        <v>5</v>
      </c>
      <c r="BL87" s="108">
        <f t="shared" si="75"/>
        <v>5</v>
      </c>
      <c r="BM87" s="108">
        <f t="shared" si="76"/>
        <v>5</v>
      </c>
      <c r="BN87" s="108">
        <f t="shared" si="77"/>
        <v>5</v>
      </c>
      <c r="BO87" s="108">
        <f t="shared" si="78"/>
        <v>5</v>
      </c>
      <c r="BP87" s="108">
        <f t="shared" si="79"/>
        <v>5</v>
      </c>
      <c r="BQ87" s="108">
        <f t="shared" si="80"/>
        <v>5</v>
      </c>
      <c r="BR87" s="108">
        <f t="shared" si="81"/>
        <v>5</v>
      </c>
      <c r="BS87" s="108">
        <f t="shared" si="82"/>
        <v>5</v>
      </c>
      <c r="BT87" s="108">
        <f t="shared" si="86"/>
        <v>100</v>
      </c>
    </row>
    <row r="88" spans="1:72" ht="25" customHeight="1" x14ac:dyDescent="0.3">
      <c r="A88" s="185"/>
      <c r="B88" s="116"/>
      <c r="C88" s="126"/>
      <c r="D88" s="124"/>
      <c r="E88" s="116"/>
      <c r="F88" s="310"/>
      <c r="G88" s="310"/>
      <c r="H88" s="295"/>
      <c r="I88" s="112"/>
      <c r="J88" s="112"/>
      <c r="K88" s="295"/>
      <c r="L88" s="117"/>
      <c r="M88" s="118"/>
      <c r="N88" s="118"/>
      <c r="O88" s="118"/>
      <c r="P88" s="196"/>
      <c r="Q88" s="118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296"/>
      <c r="AC88" s="297"/>
      <c r="AD88" s="301"/>
      <c r="AE88" s="302">
        <f>SUM(AC82:AC87)</f>
        <v>7217500</v>
      </c>
      <c r="AF88" s="302">
        <f>SUM(AD82:AD87)</f>
        <v>36087.5</v>
      </c>
      <c r="AG88" s="303"/>
      <c r="AH88" s="303"/>
      <c r="AI88" s="303"/>
      <c r="AJ88" s="304">
        <f>SUM(AJ82:AJ87)*AJ$2*$AS$1</f>
        <v>0</v>
      </c>
      <c r="AK88" s="304">
        <f t="shared" ref="AK88:AR88" si="93">SUM(AK82:AK87)*AK$2*$AS$1</f>
        <v>0</v>
      </c>
      <c r="AL88" s="304">
        <f t="shared" si="93"/>
        <v>61000.000000000007</v>
      </c>
      <c r="AM88" s="304">
        <f t="shared" si="93"/>
        <v>61000.000000000007</v>
      </c>
      <c r="AN88" s="304">
        <f t="shared" si="93"/>
        <v>0</v>
      </c>
      <c r="AO88" s="304">
        <f t="shared" si="93"/>
        <v>467000</v>
      </c>
      <c r="AP88" s="304">
        <f t="shared" si="93"/>
        <v>42700.000000000007</v>
      </c>
      <c r="AQ88" s="304">
        <f t="shared" si="93"/>
        <v>0</v>
      </c>
      <c r="AR88" s="304">
        <f t="shared" si="93"/>
        <v>0</v>
      </c>
      <c r="AS88" s="305">
        <f>SUM(AJ88:AR88)</f>
        <v>631700</v>
      </c>
      <c r="AX88" s="108">
        <f t="shared" si="63"/>
        <v>0</v>
      </c>
      <c r="AY88" s="108">
        <f t="shared" si="64"/>
        <v>0</v>
      </c>
      <c r="AZ88" s="108">
        <f t="shared" si="65"/>
        <v>0</v>
      </c>
      <c r="BA88" s="108">
        <f t="shared" si="66"/>
        <v>0</v>
      </c>
      <c r="BB88" s="108">
        <f t="shared" si="67"/>
        <v>0</v>
      </c>
      <c r="BC88" s="108">
        <f t="shared" si="68"/>
        <v>0</v>
      </c>
      <c r="BD88" s="108">
        <f t="shared" si="69"/>
        <v>0</v>
      </c>
      <c r="BE88" s="108">
        <f t="shared" si="70"/>
        <v>0</v>
      </c>
      <c r="BF88" s="108">
        <f t="shared" si="71"/>
        <v>0</v>
      </c>
      <c r="BG88" s="108">
        <f t="shared" si="72"/>
        <v>0</v>
      </c>
      <c r="BH88" s="108">
        <f t="shared" si="85"/>
        <v>0</v>
      </c>
      <c r="BJ88" s="108">
        <f t="shared" si="73"/>
        <v>0</v>
      </c>
      <c r="BK88" s="108">
        <f t="shared" si="74"/>
        <v>0</v>
      </c>
      <c r="BL88" s="108">
        <f t="shared" si="75"/>
        <v>0</v>
      </c>
      <c r="BM88" s="108">
        <f t="shared" si="76"/>
        <v>0</v>
      </c>
      <c r="BN88" s="108">
        <f t="shared" si="77"/>
        <v>0</v>
      </c>
      <c r="BO88" s="108">
        <f t="shared" si="78"/>
        <v>0</v>
      </c>
      <c r="BP88" s="108">
        <f t="shared" si="79"/>
        <v>0</v>
      </c>
      <c r="BQ88" s="108">
        <f t="shared" si="80"/>
        <v>0</v>
      </c>
      <c r="BR88" s="108">
        <f t="shared" si="81"/>
        <v>0</v>
      </c>
      <c r="BS88" s="108">
        <f t="shared" si="82"/>
        <v>0</v>
      </c>
      <c r="BT88" s="108">
        <f t="shared" si="86"/>
        <v>0</v>
      </c>
    </row>
    <row r="89" spans="1:72" ht="25" customHeight="1" x14ac:dyDescent="0.3">
      <c r="A89" s="185"/>
      <c r="B89" s="116" t="s">
        <v>1357</v>
      </c>
      <c r="C89" s="126" t="s">
        <v>1872</v>
      </c>
      <c r="D89" s="124" t="s">
        <v>1873</v>
      </c>
      <c r="E89" s="116" t="s">
        <v>1178</v>
      </c>
      <c r="F89" s="310">
        <f>6+54/60+22/3600</f>
        <v>6.9061111111111115</v>
      </c>
      <c r="G89" s="310">
        <f>134+7/60+47/3600</f>
        <v>134.12972222222223</v>
      </c>
      <c r="H89" s="295" t="s">
        <v>1874</v>
      </c>
      <c r="I89" s="112">
        <v>1989</v>
      </c>
      <c r="J89" s="112" t="s">
        <v>311</v>
      </c>
      <c r="K89" s="295" t="s">
        <v>311</v>
      </c>
      <c r="L89" s="117">
        <v>164</v>
      </c>
      <c r="M89" s="118" t="s">
        <v>308</v>
      </c>
      <c r="N89" s="118" t="s">
        <v>298</v>
      </c>
      <c r="O89" s="118" t="s">
        <v>329</v>
      </c>
      <c r="P89" s="196" t="s">
        <v>322</v>
      </c>
      <c r="Q89" s="118" t="s">
        <v>1875</v>
      </c>
      <c r="R89" s="154">
        <v>4</v>
      </c>
      <c r="S89" s="154">
        <v>2</v>
      </c>
      <c r="T89" s="154">
        <v>3</v>
      </c>
      <c r="U89" s="154">
        <v>3</v>
      </c>
      <c r="V89" s="154">
        <v>3</v>
      </c>
      <c r="W89" s="154">
        <v>3</v>
      </c>
      <c r="X89" s="154">
        <v>2</v>
      </c>
      <c r="Y89" s="154" t="s">
        <v>92</v>
      </c>
      <c r="Z89" s="154">
        <v>3</v>
      </c>
      <c r="AA89" s="154">
        <v>3</v>
      </c>
      <c r="AB89" s="296">
        <f t="shared" si="83"/>
        <v>56.84210526315789</v>
      </c>
      <c r="AC89" s="297">
        <f>L89*AC$2</f>
        <v>410000</v>
      </c>
      <c r="AD89" s="301">
        <f t="shared" si="84"/>
        <v>2050</v>
      </c>
      <c r="AE89" s="298"/>
      <c r="AJ89" s="108">
        <f t="shared" ref="AJ89:AR92" si="94">IF(OR(R89=1,R89=2),$L89,0)</f>
        <v>0</v>
      </c>
      <c r="AK89" s="108">
        <f t="shared" si="94"/>
        <v>164</v>
      </c>
      <c r="AL89" s="108">
        <f t="shared" si="94"/>
        <v>0</v>
      </c>
      <c r="AM89" s="108">
        <f t="shared" si="94"/>
        <v>0</v>
      </c>
      <c r="AN89" s="108">
        <f t="shared" si="94"/>
        <v>0</v>
      </c>
      <c r="AO89" s="108">
        <f t="shared" si="94"/>
        <v>0</v>
      </c>
      <c r="AP89" s="108">
        <f t="shared" si="94"/>
        <v>164</v>
      </c>
      <c r="AQ89" s="108">
        <f t="shared" si="94"/>
        <v>0</v>
      </c>
      <c r="AR89" s="108">
        <f t="shared" si="94"/>
        <v>0</v>
      </c>
      <c r="AX89" s="108">
        <f t="shared" si="63"/>
        <v>4</v>
      </c>
      <c r="AY89" s="108">
        <f t="shared" si="64"/>
        <v>2</v>
      </c>
      <c r="AZ89" s="108">
        <f t="shared" si="65"/>
        <v>3</v>
      </c>
      <c r="BA89" s="108">
        <f t="shared" si="66"/>
        <v>3</v>
      </c>
      <c r="BB89" s="108">
        <f t="shared" si="67"/>
        <v>3</v>
      </c>
      <c r="BC89" s="108">
        <f t="shared" si="68"/>
        <v>3</v>
      </c>
      <c r="BD89" s="108">
        <f t="shared" si="69"/>
        <v>2</v>
      </c>
      <c r="BE89" s="108">
        <f t="shared" si="70"/>
        <v>0</v>
      </c>
      <c r="BF89" s="108">
        <f t="shared" si="71"/>
        <v>3</v>
      </c>
      <c r="BG89" s="108">
        <f t="shared" si="72"/>
        <v>3</v>
      </c>
      <c r="BH89" s="108">
        <f t="shared" si="85"/>
        <v>54</v>
      </c>
      <c r="BJ89" s="108">
        <f t="shared" si="73"/>
        <v>5</v>
      </c>
      <c r="BK89" s="108">
        <f t="shared" si="74"/>
        <v>5</v>
      </c>
      <c r="BL89" s="108">
        <f t="shared" si="75"/>
        <v>5</v>
      </c>
      <c r="BM89" s="108">
        <f t="shared" si="76"/>
        <v>5</v>
      </c>
      <c r="BN89" s="108">
        <f t="shared" si="77"/>
        <v>5</v>
      </c>
      <c r="BO89" s="108">
        <f t="shared" si="78"/>
        <v>5</v>
      </c>
      <c r="BP89" s="108">
        <f t="shared" si="79"/>
        <v>5</v>
      </c>
      <c r="BQ89" s="108">
        <f t="shared" si="80"/>
        <v>0</v>
      </c>
      <c r="BR89" s="108">
        <f t="shared" si="81"/>
        <v>5</v>
      </c>
      <c r="BS89" s="108">
        <f t="shared" si="82"/>
        <v>5</v>
      </c>
      <c r="BT89" s="108">
        <f t="shared" si="86"/>
        <v>95</v>
      </c>
    </row>
    <row r="90" spans="1:72" ht="25" customHeight="1" x14ac:dyDescent="0.3">
      <c r="A90" s="185"/>
      <c r="B90" s="116" t="s">
        <v>1876</v>
      </c>
      <c r="C90" s="126" t="s">
        <v>1877</v>
      </c>
      <c r="D90" s="124" t="s">
        <v>1873</v>
      </c>
      <c r="E90" s="116" t="s">
        <v>1178</v>
      </c>
      <c r="F90" s="310">
        <f>6+54/60+17/3600</f>
        <v>6.9047222222222224</v>
      </c>
      <c r="G90" s="310">
        <f>134+7/60+48/3600</f>
        <v>134.13</v>
      </c>
      <c r="H90" s="295" t="s">
        <v>1601</v>
      </c>
      <c r="I90" s="112" t="s">
        <v>421</v>
      </c>
      <c r="J90" s="112" t="s">
        <v>311</v>
      </c>
      <c r="K90" s="295" t="s">
        <v>311</v>
      </c>
      <c r="L90" s="117">
        <v>163</v>
      </c>
      <c r="M90" s="118" t="s">
        <v>308</v>
      </c>
      <c r="N90" s="118" t="s">
        <v>298</v>
      </c>
      <c r="O90" s="118" t="s">
        <v>329</v>
      </c>
      <c r="P90" s="196" t="s">
        <v>322</v>
      </c>
      <c r="Q90" s="118" t="s">
        <v>309</v>
      </c>
      <c r="R90" s="154">
        <v>3</v>
      </c>
      <c r="S90" s="154">
        <v>2</v>
      </c>
      <c r="T90" s="154">
        <v>3</v>
      </c>
      <c r="U90" s="154">
        <v>2</v>
      </c>
      <c r="V90" s="154">
        <v>3</v>
      </c>
      <c r="W90" s="154">
        <v>2</v>
      </c>
      <c r="X90" s="154">
        <v>2</v>
      </c>
      <c r="Y90" s="154">
        <v>3</v>
      </c>
      <c r="Z90" s="154">
        <v>2</v>
      </c>
      <c r="AA90" s="154">
        <v>2</v>
      </c>
      <c r="AB90" s="296">
        <f t="shared" si="83"/>
        <v>47</v>
      </c>
      <c r="AC90" s="297">
        <f>L90*AC$2</f>
        <v>407500</v>
      </c>
      <c r="AD90" s="301">
        <f t="shared" si="84"/>
        <v>2037.5</v>
      </c>
      <c r="AE90" s="298"/>
      <c r="AJ90" s="108">
        <f t="shared" si="94"/>
        <v>0</v>
      </c>
      <c r="AK90" s="108">
        <f t="shared" si="94"/>
        <v>163</v>
      </c>
      <c r="AL90" s="108">
        <f t="shared" si="94"/>
        <v>0</v>
      </c>
      <c r="AM90" s="108">
        <f t="shared" si="94"/>
        <v>163</v>
      </c>
      <c r="AN90" s="108">
        <f t="shared" si="94"/>
        <v>0</v>
      </c>
      <c r="AO90" s="108">
        <f t="shared" si="94"/>
        <v>163</v>
      </c>
      <c r="AP90" s="108">
        <f t="shared" si="94"/>
        <v>163</v>
      </c>
      <c r="AQ90" s="108">
        <f t="shared" si="94"/>
        <v>0</v>
      </c>
      <c r="AR90" s="108">
        <f t="shared" si="94"/>
        <v>163</v>
      </c>
      <c r="AX90" s="108">
        <f t="shared" si="63"/>
        <v>3</v>
      </c>
      <c r="AY90" s="108">
        <f t="shared" si="64"/>
        <v>2</v>
      </c>
      <c r="AZ90" s="108">
        <f t="shared" si="65"/>
        <v>3</v>
      </c>
      <c r="BA90" s="108">
        <f t="shared" si="66"/>
        <v>2</v>
      </c>
      <c r="BB90" s="108">
        <f t="shared" si="67"/>
        <v>3</v>
      </c>
      <c r="BC90" s="108">
        <f t="shared" si="68"/>
        <v>2</v>
      </c>
      <c r="BD90" s="108">
        <f t="shared" si="69"/>
        <v>2</v>
      </c>
      <c r="BE90" s="108">
        <f t="shared" si="70"/>
        <v>3</v>
      </c>
      <c r="BF90" s="108">
        <f t="shared" si="71"/>
        <v>2</v>
      </c>
      <c r="BG90" s="108">
        <f t="shared" si="72"/>
        <v>2</v>
      </c>
      <c r="BH90" s="108">
        <f t="shared" si="85"/>
        <v>47</v>
      </c>
      <c r="BJ90" s="108">
        <f t="shared" si="73"/>
        <v>5</v>
      </c>
      <c r="BK90" s="108">
        <f t="shared" si="74"/>
        <v>5</v>
      </c>
      <c r="BL90" s="108">
        <f t="shared" si="75"/>
        <v>5</v>
      </c>
      <c r="BM90" s="108">
        <f t="shared" si="76"/>
        <v>5</v>
      </c>
      <c r="BN90" s="108">
        <f t="shared" si="77"/>
        <v>5</v>
      </c>
      <c r="BO90" s="108">
        <f t="shared" si="78"/>
        <v>5</v>
      </c>
      <c r="BP90" s="108">
        <f t="shared" si="79"/>
        <v>5</v>
      </c>
      <c r="BQ90" s="108">
        <f t="shared" si="80"/>
        <v>5</v>
      </c>
      <c r="BR90" s="108">
        <f t="shared" si="81"/>
        <v>5</v>
      </c>
      <c r="BS90" s="108">
        <f t="shared" si="82"/>
        <v>5</v>
      </c>
      <c r="BT90" s="108">
        <f t="shared" si="86"/>
        <v>100</v>
      </c>
    </row>
    <row r="91" spans="1:72" ht="25" customHeight="1" x14ac:dyDescent="0.3">
      <c r="A91" s="185"/>
      <c r="B91" s="116" t="s">
        <v>1878</v>
      </c>
      <c r="C91" s="126" t="s">
        <v>1879</v>
      </c>
      <c r="D91" s="124" t="s">
        <v>1873</v>
      </c>
      <c r="E91" s="116" t="s">
        <v>1178</v>
      </c>
      <c r="F91" s="310">
        <f>6+54/60+18/3600</f>
        <v>6.9050000000000002</v>
      </c>
      <c r="G91" s="310">
        <f>134+7/60+48/3600</f>
        <v>134.13</v>
      </c>
      <c r="H91" s="295" t="s">
        <v>1601</v>
      </c>
      <c r="I91" s="112" t="s">
        <v>421</v>
      </c>
      <c r="J91" s="112" t="s">
        <v>311</v>
      </c>
      <c r="K91" s="295" t="s">
        <v>311</v>
      </c>
      <c r="L91" s="117">
        <v>80</v>
      </c>
      <c r="M91" s="118" t="s">
        <v>308</v>
      </c>
      <c r="N91" s="118" t="s">
        <v>298</v>
      </c>
      <c r="O91" s="118" t="s">
        <v>92</v>
      </c>
      <c r="P91" s="196" t="s">
        <v>298</v>
      </c>
      <c r="Q91" s="118" t="s">
        <v>309</v>
      </c>
      <c r="R91" s="154">
        <v>5</v>
      </c>
      <c r="S91" s="154">
        <v>4</v>
      </c>
      <c r="T91" s="154" t="s">
        <v>92</v>
      </c>
      <c r="U91" s="154">
        <v>3</v>
      </c>
      <c r="V91" s="154">
        <v>4</v>
      </c>
      <c r="W91" s="154">
        <v>4</v>
      </c>
      <c r="X91" s="154">
        <v>3</v>
      </c>
      <c r="Y91" s="154" t="s">
        <v>92</v>
      </c>
      <c r="Z91" s="154">
        <v>4</v>
      </c>
      <c r="AA91" s="154">
        <v>4</v>
      </c>
      <c r="AB91" s="296">
        <f t="shared" si="83"/>
        <v>81.17647058823529</v>
      </c>
      <c r="AC91" s="297">
        <f>L91*AC$2</f>
        <v>200000</v>
      </c>
      <c r="AD91" s="301">
        <f t="shared" si="84"/>
        <v>1000</v>
      </c>
      <c r="AE91" s="298"/>
      <c r="AJ91" s="108">
        <f t="shared" si="94"/>
        <v>0</v>
      </c>
      <c r="AK91" s="108">
        <f t="shared" si="94"/>
        <v>0</v>
      </c>
      <c r="AL91" s="108">
        <f t="shared" si="94"/>
        <v>0</v>
      </c>
      <c r="AM91" s="108">
        <f t="shared" si="94"/>
        <v>0</v>
      </c>
      <c r="AN91" s="108">
        <f t="shared" si="94"/>
        <v>0</v>
      </c>
      <c r="AO91" s="108">
        <f t="shared" si="94"/>
        <v>0</v>
      </c>
      <c r="AP91" s="108">
        <f t="shared" si="94"/>
        <v>0</v>
      </c>
      <c r="AQ91" s="108">
        <f t="shared" si="94"/>
        <v>0</v>
      </c>
      <c r="AR91" s="108">
        <f t="shared" si="94"/>
        <v>0</v>
      </c>
      <c r="AX91" s="108">
        <f t="shared" si="63"/>
        <v>5</v>
      </c>
      <c r="AY91" s="108">
        <f t="shared" si="64"/>
        <v>4</v>
      </c>
      <c r="AZ91" s="108">
        <f t="shared" si="65"/>
        <v>0</v>
      </c>
      <c r="BA91" s="108">
        <f t="shared" si="66"/>
        <v>3</v>
      </c>
      <c r="BB91" s="108">
        <f t="shared" si="67"/>
        <v>4</v>
      </c>
      <c r="BC91" s="108">
        <f t="shared" si="68"/>
        <v>4</v>
      </c>
      <c r="BD91" s="108">
        <f t="shared" si="69"/>
        <v>3</v>
      </c>
      <c r="BE91" s="108">
        <f t="shared" si="70"/>
        <v>0</v>
      </c>
      <c r="BF91" s="108">
        <f t="shared" si="71"/>
        <v>4</v>
      </c>
      <c r="BG91" s="108">
        <f t="shared" si="72"/>
        <v>4</v>
      </c>
      <c r="BH91" s="108">
        <f t="shared" si="85"/>
        <v>69</v>
      </c>
      <c r="BJ91" s="108">
        <f t="shared" si="73"/>
        <v>5</v>
      </c>
      <c r="BK91" s="108">
        <f t="shared" si="74"/>
        <v>5</v>
      </c>
      <c r="BL91" s="108">
        <f t="shared" si="75"/>
        <v>0</v>
      </c>
      <c r="BM91" s="108">
        <f t="shared" si="76"/>
        <v>5</v>
      </c>
      <c r="BN91" s="108">
        <f t="shared" si="77"/>
        <v>5</v>
      </c>
      <c r="BO91" s="108">
        <f t="shared" si="78"/>
        <v>5</v>
      </c>
      <c r="BP91" s="108">
        <f t="shared" si="79"/>
        <v>5</v>
      </c>
      <c r="BQ91" s="108">
        <f t="shared" si="80"/>
        <v>0</v>
      </c>
      <c r="BR91" s="108">
        <f t="shared" si="81"/>
        <v>5</v>
      </c>
      <c r="BS91" s="108">
        <f t="shared" si="82"/>
        <v>5</v>
      </c>
      <c r="BT91" s="108">
        <f t="shared" si="86"/>
        <v>85</v>
      </c>
    </row>
    <row r="92" spans="1:72" ht="25" customHeight="1" x14ac:dyDescent="0.3">
      <c r="A92" s="185"/>
      <c r="B92" s="116" t="s">
        <v>1880</v>
      </c>
      <c r="C92" s="126" t="s">
        <v>1881</v>
      </c>
      <c r="D92" s="124" t="s">
        <v>1873</v>
      </c>
      <c r="E92" s="116" t="s">
        <v>1179</v>
      </c>
      <c r="F92" s="310">
        <f>6+54/60+10/3600</f>
        <v>6.9027777777777786</v>
      </c>
      <c r="G92" s="310">
        <f>134+7/60+51/3600</f>
        <v>134.13083333333333</v>
      </c>
      <c r="H92" s="295" t="s">
        <v>1606</v>
      </c>
      <c r="I92" s="112" t="s">
        <v>421</v>
      </c>
      <c r="J92" s="112" t="s">
        <v>311</v>
      </c>
      <c r="K92" s="295" t="s">
        <v>311</v>
      </c>
      <c r="L92" s="117">
        <v>375</v>
      </c>
      <c r="M92" s="118" t="s">
        <v>308</v>
      </c>
      <c r="N92" s="118" t="s">
        <v>298</v>
      </c>
      <c r="O92" s="118" t="s">
        <v>329</v>
      </c>
      <c r="P92" s="196" t="s">
        <v>322</v>
      </c>
      <c r="Q92" s="118" t="s">
        <v>1875</v>
      </c>
      <c r="R92" s="154">
        <v>5</v>
      </c>
      <c r="S92" s="154">
        <v>4</v>
      </c>
      <c r="T92" s="154">
        <v>3</v>
      </c>
      <c r="U92" s="154">
        <v>4</v>
      </c>
      <c r="V92" s="154">
        <v>4</v>
      </c>
      <c r="W92" s="154">
        <v>2</v>
      </c>
      <c r="X92" s="154">
        <v>2</v>
      </c>
      <c r="Y92" s="154" t="s">
        <v>92</v>
      </c>
      <c r="Z92" s="154">
        <v>3</v>
      </c>
      <c r="AA92" s="154">
        <v>4</v>
      </c>
      <c r="AB92" s="296">
        <f t="shared" si="83"/>
        <v>75.789473684210535</v>
      </c>
      <c r="AC92" s="297">
        <f>L92*AC$2</f>
        <v>937500</v>
      </c>
      <c r="AD92" s="301">
        <f t="shared" si="84"/>
        <v>4687.5</v>
      </c>
      <c r="AE92" s="463" t="s">
        <v>1873</v>
      </c>
      <c r="AF92" s="463"/>
      <c r="AJ92" s="108">
        <f t="shared" si="94"/>
        <v>0</v>
      </c>
      <c r="AK92" s="108">
        <f t="shared" si="94"/>
        <v>0</v>
      </c>
      <c r="AL92" s="108">
        <f t="shared" si="94"/>
        <v>0</v>
      </c>
      <c r="AM92" s="108">
        <f t="shared" si="94"/>
        <v>0</v>
      </c>
      <c r="AN92" s="108">
        <f t="shared" si="94"/>
        <v>0</v>
      </c>
      <c r="AO92" s="108">
        <f t="shared" si="94"/>
        <v>375</v>
      </c>
      <c r="AP92" s="108">
        <f t="shared" si="94"/>
        <v>375</v>
      </c>
      <c r="AQ92" s="108">
        <f t="shared" si="94"/>
        <v>0</v>
      </c>
      <c r="AR92" s="108">
        <f t="shared" si="94"/>
        <v>0</v>
      </c>
      <c r="AX92" s="108">
        <f t="shared" si="63"/>
        <v>5</v>
      </c>
      <c r="AY92" s="108">
        <f t="shared" si="64"/>
        <v>4</v>
      </c>
      <c r="AZ92" s="108">
        <f t="shared" si="65"/>
        <v>3</v>
      </c>
      <c r="BA92" s="108">
        <f t="shared" si="66"/>
        <v>4</v>
      </c>
      <c r="BB92" s="108">
        <f t="shared" si="67"/>
        <v>4</v>
      </c>
      <c r="BC92" s="108">
        <f t="shared" si="68"/>
        <v>2</v>
      </c>
      <c r="BD92" s="108">
        <f t="shared" si="69"/>
        <v>2</v>
      </c>
      <c r="BE92" s="108">
        <f t="shared" si="70"/>
        <v>0</v>
      </c>
      <c r="BF92" s="108">
        <f t="shared" si="71"/>
        <v>3</v>
      </c>
      <c r="BG92" s="108">
        <f t="shared" si="72"/>
        <v>4</v>
      </c>
      <c r="BH92" s="108">
        <f t="shared" si="85"/>
        <v>72</v>
      </c>
      <c r="BJ92" s="108">
        <f t="shared" si="73"/>
        <v>5</v>
      </c>
      <c r="BK92" s="108">
        <f t="shared" si="74"/>
        <v>5</v>
      </c>
      <c r="BL92" s="108">
        <f t="shared" si="75"/>
        <v>5</v>
      </c>
      <c r="BM92" s="108">
        <f t="shared" si="76"/>
        <v>5</v>
      </c>
      <c r="BN92" s="108">
        <f t="shared" si="77"/>
        <v>5</v>
      </c>
      <c r="BO92" s="108">
        <f t="shared" si="78"/>
        <v>5</v>
      </c>
      <c r="BP92" s="108">
        <f t="shared" si="79"/>
        <v>5</v>
      </c>
      <c r="BQ92" s="108">
        <f t="shared" si="80"/>
        <v>0</v>
      </c>
      <c r="BR92" s="108">
        <f t="shared" si="81"/>
        <v>5</v>
      </c>
      <c r="BS92" s="108">
        <f t="shared" si="82"/>
        <v>5</v>
      </c>
      <c r="BT92" s="108">
        <f t="shared" si="86"/>
        <v>95</v>
      </c>
    </row>
    <row r="93" spans="1:72" ht="25" customHeight="1" x14ac:dyDescent="0.3">
      <c r="A93" s="185"/>
      <c r="B93" s="116"/>
      <c r="C93" s="126"/>
      <c r="D93" s="124"/>
      <c r="E93" s="116"/>
      <c r="F93" s="310"/>
      <c r="G93" s="310"/>
      <c r="H93" s="295"/>
      <c r="I93" s="112"/>
      <c r="J93" s="112"/>
      <c r="K93" s="295"/>
      <c r="L93" s="117"/>
      <c r="M93" s="118"/>
      <c r="N93" s="118"/>
      <c r="O93" s="118"/>
      <c r="P93" s="196"/>
      <c r="Q93" s="118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296"/>
      <c r="AC93" s="297"/>
      <c r="AD93" s="301"/>
      <c r="AE93" s="302">
        <f>SUM(AC89:AC92)</f>
        <v>1955000</v>
      </c>
      <c r="AF93" s="302">
        <f>SUM(AD89:AD92)</f>
        <v>9775</v>
      </c>
      <c r="AG93" s="303"/>
      <c r="AH93" s="303"/>
      <c r="AI93" s="303"/>
      <c r="AJ93" s="304">
        <f>SUM(AJ89:AJ92)*AJ$2*$AS$1</f>
        <v>0</v>
      </c>
      <c r="AK93" s="304">
        <f t="shared" ref="AK93:AR93" si="95">SUM(AK89:AK92)*AK$2*$AS$1</f>
        <v>163500</v>
      </c>
      <c r="AL93" s="304">
        <f t="shared" si="95"/>
        <v>0</v>
      </c>
      <c r="AM93" s="304">
        <f t="shared" si="95"/>
        <v>40750</v>
      </c>
      <c r="AN93" s="304">
        <f t="shared" si="95"/>
        <v>0</v>
      </c>
      <c r="AO93" s="304">
        <f t="shared" si="95"/>
        <v>269000</v>
      </c>
      <c r="AP93" s="304">
        <f t="shared" si="95"/>
        <v>122850.00000000001</v>
      </c>
      <c r="AQ93" s="304">
        <f t="shared" si="95"/>
        <v>0</v>
      </c>
      <c r="AR93" s="304">
        <f t="shared" si="95"/>
        <v>28525.000000000004</v>
      </c>
      <c r="AS93" s="305">
        <f>SUM(AJ93:AR93)</f>
        <v>624625</v>
      </c>
      <c r="AX93" s="108">
        <f t="shared" si="63"/>
        <v>0</v>
      </c>
      <c r="AY93" s="108">
        <f t="shared" si="64"/>
        <v>0</v>
      </c>
      <c r="AZ93" s="108">
        <f t="shared" si="65"/>
        <v>0</v>
      </c>
      <c r="BA93" s="108">
        <f t="shared" si="66"/>
        <v>0</v>
      </c>
      <c r="BB93" s="108">
        <f t="shared" si="67"/>
        <v>0</v>
      </c>
      <c r="BC93" s="108">
        <f t="shared" si="68"/>
        <v>0</v>
      </c>
      <c r="BD93" s="108">
        <f t="shared" si="69"/>
        <v>0</v>
      </c>
      <c r="BE93" s="108">
        <f t="shared" si="70"/>
        <v>0</v>
      </c>
      <c r="BF93" s="108">
        <f t="shared" si="71"/>
        <v>0</v>
      </c>
      <c r="BG93" s="108">
        <f t="shared" si="72"/>
        <v>0</v>
      </c>
      <c r="BH93" s="108">
        <f t="shared" si="85"/>
        <v>0</v>
      </c>
      <c r="BJ93" s="108">
        <f t="shared" si="73"/>
        <v>0</v>
      </c>
      <c r="BK93" s="108">
        <f t="shared" si="74"/>
        <v>0</v>
      </c>
      <c r="BL93" s="108">
        <f t="shared" si="75"/>
        <v>0</v>
      </c>
      <c r="BM93" s="108">
        <f t="shared" si="76"/>
        <v>0</v>
      </c>
      <c r="BN93" s="108">
        <f t="shared" si="77"/>
        <v>0</v>
      </c>
      <c r="BO93" s="108">
        <f t="shared" si="78"/>
        <v>0</v>
      </c>
      <c r="BP93" s="108">
        <f t="shared" si="79"/>
        <v>0</v>
      </c>
      <c r="BQ93" s="108">
        <f t="shared" si="80"/>
        <v>0</v>
      </c>
      <c r="BR93" s="108">
        <f t="shared" si="81"/>
        <v>0</v>
      </c>
      <c r="BS93" s="108">
        <f t="shared" si="82"/>
        <v>0</v>
      </c>
      <c r="BT93" s="108">
        <f t="shared" si="86"/>
        <v>0</v>
      </c>
    </row>
    <row r="94" spans="1:72" ht="25" customHeight="1" x14ac:dyDescent="0.3">
      <c r="A94" s="185"/>
      <c r="B94" s="116" t="s">
        <v>1493</v>
      </c>
      <c r="C94" s="126" t="s">
        <v>345</v>
      </c>
      <c r="D94" s="124" t="s">
        <v>343</v>
      </c>
      <c r="E94" s="116" t="s">
        <v>344</v>
      </c>
      <c r="F94" s="111">
        <f>7+22.127254/60</f>
        <v>7.3687875666666667</v>
      </c>
      <c r="G94" s="111">
        <f>134+32.446694/60</f>
        <v>134.54077823333333</v>
      </c>
      <c r="H94" s="295" t="s">
        <v>354</v>
      </c>
      <c r="I94" s="112">
        <v>2004</v>
      </c>
      <c r="J94" s="112" t="s">
        <v>311</v>
      </c>
      <c r="K94" s="295" t="s">
        <v>311</v>
      </c>
      <c r="L94" s="117">
        <v>690</v>
      </c>
      <c r="M94" s="118" t="s">
        <v>308</v>
      </c>
      <c r="N94" s="118" t="s">
        <v>298</v>
      </c>
      <c r="O94" s="118" t="s">
        <v>329</v>
      </c>
      <c r="P94" s="196" t="s">
        <v>328</v>
      </c>
      <c r="Q94" s="118" t="s">
        <v>352</v>
      </c>
      <c r="R94" s="154">
        <v>5</v>
      </c>
      <c r="S94" s="154">
        <v>5</v>
      </c>
      <c r="T94" s="154">
        <v>4</v>
      </c>
      <c r="U94" s="154">
        <v>3</v>
      </c>
      <c r="V94" s="154">
        <v>4</v>
      </c>
      <c r="W94" s="154">
        <v>4</v>
      </c>
      <c r="X94" s="154">
        <v>4</v>
      </c>
      <c r="Y94" s="154">
        <v>2</v>
      </c>
      <c r="Z94" s="154">
        <v>3</v>
      </c>
      <c r="AA94" s="154">
        <v>4</v>
      </c>
      <c r="AB94" s="296">
        <f t="shared" si="83"/>
        <v>84</v>
      </c>
      <c r="AC94" s="297">
        <f t="shared" ref="AC94:AC105" si="96">L94*AC$2</f>
        <v>1725000</v>
      </c>
      <c r="AD94" s="301">
        <f t="shared" si="84"/>
        <v>8625</v>
      </c>
      <c r="AE94" s="298"/>
      <c r="AJ94" s="108">
        <f t="shared" ref="AJ94:AJ105" si="97">IF(OR(R94=1,R94=2),$L94,0)</f>
        <v>0</v>
      </c>
      <c r="AK94" s="108">
        <f t="shared" ref="AK94:AK105" si="98">IF(OR(S94=1,S94=2),$L94,0)</f>
        <v>0</v>
      </c>
      <c r="AL94" s="108">
        <f t="shared" ref="AL94:AL105" si="99">IF(OR(T94=1,T94=2),$L94,0)</f>
        <v>0</v>
      </c>
      <c r="AM94" s="108">
        <f t="shared" ref="AM94:AM105" si="100">IF(OR(U94=1,U94=2),$L94,0)</f>
        <v>0</v>
      </c>
      <c r="AN94" s="108">
        <f t="shared" ref="AN94:AN105" si="101">IF(OR(V94=1,V94=2),$L94,0)</f>
        <v>0</v>
      </c>
      <c r="AO94" s="108">
        <f t="shared" ref="AO94:AO105" si="102">IF(OR(W94=1,W94=2),$L94,0)</f>
        <v>0</v>
      </c>
      <c r="AP94" s="108">
        <f t="shared" ref="AP94:AP105" si="103">IF(OR(X94=1,X94=2),$L94,0)</f>
        <v>0</v>
      </c>
      <c r="AQ94" s="108">
        <f t="shared" ref="AQ94:AQ105" si="104">IF(OR(Y94=1,Y94=2),$L94,0)</f>
        <v>690</v>
      </c>
      <c r="AR94" s="108">
        <f t="shared" ref="AR94:AR105" si="105">IF(OR(Z94=1,Z94=2),$L94,0)</f>
        <v>0</v>
      </c>
      <c r="AX94" s="108">
        <f t="shared" si="63"/>
        <v>5</v>
      </c>
      <c r="AY94" s="108">
        <f t="shared" si="64"/>
        <v>5</v>
      </c>
      <c r="AZ94" s="108">
        <f t="shared" si="65"/>
        <v>4</v>
      </c>
      <c r="BA94" s="108">
        <f t="shared" si="66"/>
        <v>3</v>
      </c>
      <c r="BB94" s="108">
        <f t="shared" si="67"/>
        <v>4</v>
      </c>
      <c r="BC94" s="108">
        <f t="shared" si="68"/>
        <v>4</v>
      </c>
      <c r="BD94" s="108">
        <f t="shared" si="69"/>
        <v>4</v>
      </c>
      <c r="BE94" s="108">
        <f t="shared" si="70"/>
        <v>2</v>
      </c>
      <c r="BF94" s="108">
        <f t="shared" si="71"/>
        <v>3</v>
      </c>
      <c r="BG94" s="108">
        <f t="shared" si="72"/>
        <v>4</v>
      </c>
      <c r="BH94" s="108">
        <f t="shared" si="85"/>
        <v>84</v>
      </c>
      <c r="BJ94" s="108">
        <f t="shared" si="73"/>
        <v>5</v>
      </c>
      <c r="BK94" s="108">
        <f t="shared" si="74"/>
        <v>5</v>
      </c>
      <c r="BL94" s="108">
        <f t="shared" si="75"/>
        <v>5</v>
      </c>
      <c r="BM94" s="108">
        <f t="shared" si="76"/>
        <v>5</v>
      </c>
      <c r="BN94" s="108">
        <f t="shared" si="77"/>
        <v>5</v>
      </c>
      <c r="BO94" s="108">
        <f t="shared" si="78"/>
        <v>5</v>
      </c>
      <c r="BP94" s="108">
        <f t="shared" si="79"/>
        <v>5</v>
      </c>
      <c r="BQ94" s="108">
        <f t="shared" si="80"/>
        <v>5</v>
      </c>
      <c r="BR94" s="108">
        <f t="shared" si="81"/>
        <v>5</v>
      </c>
      <c r="BS94" s="108">
        <f t="shared" si="82"/>
        <v>5</v>
      </c>
      <c r="BT94" s="108">
        <f t="shared" si="86"/>
        <v>100</v>
      </c>
    </row>
    <row r="95" spans="1:72" ht="25" customHeight="1" x14ac:dyDescent="0.3">
      <c r="A95" s="185"/>
      <c r="B95" s="116" t="s">
        <v>1494</v>
      </c>
      <c r="C95" s="126" t="s">
        <v>346</v>
      </c>
      <c r="D95" s="124" t="s">
        <v>343</v>
      </c>
      <c r="E95" s="116" t="s">
        <v>344</v>
      </c>
      <c r="F95" s="111">
        <f>7+22.117535/60</f>
        <v>7.3686255833333334</v>
      </c>
      <c r="G95" s="111">
        <f>134+32.477649/60</f>
        <v>134.54129415</v>
      </c>
      <c r="H95" s="295" t="s">
        <v>355</v>
      </c>
      <c r="I95" s="112">
        <v>2018</v>
      </c>
      <c r="J95" s="112" t="s">
        <v>311</v>
      </c>
      <c r="K95" s="295" t="s">
        <v>311</v>
      </c>
      <c r="L95" s="117">
        <v>210</v>
      </c>
      <c r="M95" s="118" t="s">
        <v>308</v>
      </c>
      <c r="N95" s="118" t="s">
        <v>298</v>
      </c>
      <c r="O95" s="118" t="s">
        <v>329</v>
      </c>
      <c r="P95" s="196" t="s">
        <v>322</v>
      </c>
      <c r="Q95" s="118" t="s">
        <v>298</v>
      </c>
      <c r="R95" s="154">
        <v>5</v>
      </c>
      <c r="S95" s="154">
        <v>5</v>
      </c>
      <c r="T95" s="154">
        <v>5</v>
      </c>
      <c r="U95" s="154">
        <v>5</v>
      </c>
      <c r="V95" s="154">
        <v>5</v>
      </c>
      <c r="W95" s="154">
        <v>5</v>
      </c>
      <c r="X95" s="154">
        <v>5</v>
      </c>
      <c r="Y95" s="154">
        <v>5</v>
      </c>
      <c r="Z95" s="154">
        <v>5</v>
      </c>
      <c r="AA95" s="154">
        <v>5</v>
      </c>
      <c r="AB95" s="296">
        <f t="shared" si="83"/>
        <v>100</v>
      </c>
      <c r="AC95" s="297">
        <f t="shared" si="96"/>
        <v>525000</v>
      </c>
      <c r="AD95" s="301">
        <f t="shared" si="84"/>
        <v>2625</v>
      </c>
      <c r="AE95" s="298"/>
      <c r="AJ95" s="108">
        <f t="shared" si="97"/>
        <v>0</v>
      </c>
      <c r="AK95" s="108">
        <f t="shared" si="98"/>
        <v>0</v>
      </c>
      <c r="AL95" s="108">
        <f t="shared" si="99"/>
        <v>0</v>
      </c>
      <c r="AM95" s="108">
        <f t="shared" si="100"/>
        <v>0</v>
      </c>
      <c r="AN95" s="108">
        <f t="shared" si="101"/>
        <v>0</v>
      </c>
      <c r="AO95" s="108">
        <f t="shared" si="102"/>
        <v>0</v>
      </c>
      <c r="AP95" s="108">
        <f t="shared" si="103"/>
        <v>0</v>
      </c>
      <c r="AQ95" s="108">
        <f t="shared" si="104"/>
        <v>0</v>
      </c>
      <c r="AR95" s="108">
        <f t="shared" si="105"/>
        <v>0</v>
      </c>
      <c r="AX95" s="108">
        <f t="shared" si="63"/>
        <v>5</v>
      </c>
      <c r="AY95" s="108">
        <f t="shared" si="64"/>
        <v>5</v>
      </c>
      <c r="AZ95" s="108">
        <f t="shared" si="65"/>
        <v>5</v>
      </c>
      <c r="BA95" s="108">
        <f t="shared" si="66"/>
        <v>5</v>
      </c>
      <c r="BB95" s="108">
        <f t="shared" si="67"/>
        <v>5</v>
      </c>
      <c r="BC95" s="108">
        <f t="shared" si="68"/>
        <v>5</v>
      </c>
      <c r="BD95" s="108">
        <f t="shared" si="69"/>
        <v>5</v>
      </c>
      <c r="BE95" s="108">
        <f t="shared" si="70"/>
        <v>5</v>
      </c>
      <c r="BF95" s="108">
        <f t="shared" si="71"/>
        <v>5</v>
      </c>
      <c r="BG95" s="108">
        <f t="shared" si="72"/>
        <v>5</v>
      </c>
      <c r="BH95" s="108">
        <f t="shared" si="85"/>
        <v>100</v>
      </c>
      <c r="BJ95" s="108">
        <f t="shared" si="73"/>
        <v>5</v>
      </c>
      <c r="BK95" s="108">
        <f t="shared" si="74"/>
        <v>5</v>
      </c>
      <c r="BL95" s="108">
        <f t="shared" si="75"/>
        <v>5</v>
      </c>
      <c r="BM95" s="108">
        <f t="shared" si="76"/>
        <v>5</v>
      </c>
      <c r="BN95" s="108">
        <f t="shared" si="77"/>
        <v>5</v>
      </c>
      <c r="BO95" s="108">
        <f t="shared" si="78"/>
        <v>5</v>
      </c>
      <c r="BP95" s="108">
        <f t="shared" si="79"/>
        <v>5</v>
      </c>
      <c r="BQ95" s="108">
        <f t="shared" si="80"/>
        <v>5</v>
      </c>
      <c r="BR95" s="108">
        <f t="shared" si="81"/>
        <v>5</v>
      </c>
      <c r="BS95" s="108">
        <f t="shared" si="82"/>
        <v>5</v>
      </c>
      <c r="BT95" s="108">
        <f t="shared" si="86"/>
        <v>100</v>
      </c>
    </row>
    <row r="96" spans="1:72" ht="25" customHeight="1" x14ac:dyDescent="0.3">
      <c r="A96" s="185"/>
      <c r="B96" s="116" t="s">
        <v>1495</v>
      </c>
      <c r="C96" s="126" t="s">
        <v>350</v>
      </c>
      <c r="D96" s="124" t="s">
        <v>343</v>
      </c>
      <c r="E96" s="116" t="s">
        <v>351</v>
      </c>
      <c r="F96" s="111">
        <f>7+21.873629/60</f>
        <v>7.3645604833333334</v>
      </c>
      <c r="G96" s="111">
        <f>134+31.962396/60</f>
        <v>134.53270660000001</v>
      </c>
      <c r="H96" s="295" t="s">
        <v>356</v>
      </c>
      <c r="I96" s="112" t="s">
        <v>502</v>
      </c>
      <c r="J96" s="112">
        <v>2020</v>
      </c>
      <c r="K96" s="295" t="s">
        <v>324</v>
      </c>
      <c r="L96" s="117">
        <v>4130</v>
      </c>
      <c r="M96" s="118" t="s">
        <v>308</v>
      </c>
      <c r="N96" s="118" t="s">
        <v>298</v>
      </c>
      <c r="O96" s="118" t="s">
        <v>329</v>
      </c>
      <c r="P96" s="196" t="s">
        <v>322</v>
      </c>
      <c r="Q96" s="118" t="s">
        <v>353</v>
      </c>
      <c r="R96" s="154">
        <v>5</v>
      </c>
      <c r="S96" s="154">
        <v>4</v>
      </c>
      <c r="T96" s="154">
        <v>4</v>
      </c>
      <c r="U96" s="154">
        <v>4</v>
      </c>
      <c r="V96" s="154">
        <v>4</v>
      </c>
      <c r="W96" s="154">
        <v>4</v>
      </c>
      <c r="X96" s="154">
        <v>4</v>
      </c>
      <c r="Y96" s="154">
        <v>4</v>
      </c>
      <c r="Z96" s="154">
        <v>4</v>
      </c>
      <c r="AA96" s="154">
        <v>4</v>
      </c>
      <c r="AB96" s="296">
        <f t="shared" si="83"/>
        <v>83</v>
      </c>
      <c r="AC96" s="297">
        <f t="shared" si="96"/>
        <v>10325000</v>
      </c>
      <c r="AD96" s="301">
        <f t="shared" si="84"/>
        <v>51625</v>
      </c>
      <c r="AE96" s="298"/>
      <c r="AJ96" s="108">
        <f t="shared" si="97"/>
        <v>0</v>
      </c>
      <c r="AK96" s="108">
        <f t="shared" si="98"/>
        <v>0</v>
      </c>
      <c r="AL96" s="108">
        <f t="shared" si="99"/>
        <v>0</v>
      </c>
      <c r="AM96" s="108">
        <f t="shared" si="100"/>
        <v>0</v>
      </c>
      <c r="AN96" s="108">
        <f t="shared" si="101"/>
        <v>0</v>
      </c>
      <c r="AO96" s="108">
        <f t="shared" si="102"/>
        <v>0</v>
      </c>
      <c r="AP96" s="108">
        <f t="shared" si="103"/>
        <v>0</v>
      </c>
      <c r="AQ96" s="108">
        <f t="shared" si="104"/>
        <v>0</v>
      </c>
      <c r="AR96" s="108">
        <f t="shared" si="105"/>
        <v>0</v>
      </c>
      <c r="AX96" s="108">
        <f t="shared" si="63"/>
        <v>5</v>
      </c>
      <c r="AY96" s="108">
        <f t="shared" si="64"/>
        <v>4</v>
      </c>
      <c r="AZ96" s="108">
        <f t="shared" si="65"/>
        <v>4</v>
      </c>
      <c r="BA96" s="108">
        <f t="shared" si="66"/>
        <v>4</v>
      </c>
      <c r="BB96" s="108">
        <f t="shared" si="67"/>
        <v>4</v>
      </c>
      <c r="BC96" s="108">
        <f t="shared" si="68"/>
        <v>4</v>
      </c>
      <c r="BD96" s="108">
        <f t="shared" si="69"/>
        <v>4</v>
      </c>
      <c r="BE96" s="108">
        <f t="shared" si="70"/>
        <v>4</v>
      </c>
      <c r="BF96" s="108">
        <f t="shared" si="71"/>
        <v>4</v>
      </c>
      <c r="BG96" s="108">
        <f t="shared" si="72"/>
        <v>4</v>
      </c>
      <c r="BH96" s="108">
        <f t="shared" si="85"/>
        <v>83</v>
      </c>
      <c r="BJ96" s="108">
        <f t="shared" si="73"/>
        <v>5</v>
      </c>
      <c r="BK96" s="108">
        <f t="shared" si="74"/>
        <v>5</v>
      </c>
      <c r="BL96" s="108">
        <f t="shared" si="75"/>
        <v>5</v>
      </c>
      <c r="BM96" s="108">
        <f t="shared" si="76"/>
        <v>5</v>
      </c>
      <c r="BN96" s="108">
        <f t="shared" si="77"/>
        <v>5</v>
      </c>
      <c r="BO96" s="108">
        <f t="shared" si="78"/>
        <v>5</v>
      </c>
      <c r="BP96" s="108">
        <f t="shared" si="79"/>
        <v>5</v>
      </c>
      <c r="BQ96" s="108">
        <f t="shared" si="80"/>
        <v>5</v>
      </c>
      <c r="BR96" s="108">
        <f t="shared" si="81"/>
        <v>5</v>
      </c>
      <c r="BS96" s="108">
        <f t="shared" si="82"/>
        <v>5</v>
      </c>
      <c r="BT96" s="108">
        <f t="shared" si="86"/>
        <v>100</v>
      </c>
    </row>
    <row r="97" spans="1:72" ht="25" customHeight="1" x14ac:dyDescent="0.3">
      <c r="A97" s="185"/>
      <c r="B97" s="116" t="s">
        <v>1496</v>
      </c>
      <c r="C97" s="126" t="s">
        <v>358</v>
      </c>
      <c r="D97" s="124" t="s">
        <v>343</v>
      </c>
      <c r="E97" s="116" t="s">
        <v>351</v>
      </c>
      <c r="F97" s="111">
        <f>7+21.855532/60</f>
        <v>7.3642588666666668</v>
      </c>
      <c r="G97" s="111">
        <f>134+3200036/60</f>
        <v>53467.933333333334</v>
      </c>
      <c r="H97" s="295" t="s">
        <v>357</v>
      </c>
      <c r="I97" s="112">
        <v>2019</v>
      </c>
      <c r="J97" s="112" t="s">
        <v>311</v>
      </c>
      <c r="K97" s="295" t="s">
        <v>311</v>
      </c>
      <c r="L97" s="117">
        <f>2016</f>
        <v>2016</v>
      </c>
      <c r="M97" s="118" t="s">
        <v>308</v>
      </c>
      <c r="N97" s="118" t="s">
        <v>159</v>
      </c>
      <c r="O97" s="118" t="s">
        <v>359</v>
      </c>
      <c r="P97" s="196" t="s">
        <v>322</v>
      </c>
      <c r="Q97" s="118" t="s">
        <v>353</v>
      </c>
      <c r="R97" s="154">
        <v>5</v>
      </c>
      <c r="S97" s="154">
        <v>5</v>
      </c>
      <c r="T97" s="154">
        <v>5</v>
      </c>
      <c r="U97" s="154">
        <v>5</v>
      </c>
      <c r="V97" s="154">
        <v>5</v>
      </c>
      <c r="W97" s="154">
        <v>5</v>
      </c>
      <c r="X97" s="154">
        <v>5</v>
      </c>
      <c r="Y97" s="154">
        <v>5</v>
      </c>
      <c r="Z97" s="154">
        <v>5</v>
      </c>
      <c r="AA97" s="154">
        <v>5</v>
      </c>
      <c r="AB97" s="296">
        <f t="shared" si="83"/>
        <v>100</v>
      </c>
      <c r="AC97" s="297">
        <f t="shared" si="96"/>
        <v>5040000</v>
      </c>
      <c r="AD97" s="301">
        <f t="shared" si="84"/>
        <v>25200</v>
      </c>
      <c r="AE97" s="298"/>
      <c r="AJ97" s="108">
        <f t="shared" si="97"/>
        <v>0</v>
      </c>
      <c r="AK97" s="108">
        <f t="shared" si="98"/>
        <v>0</v>
      </c>
      <c r="AL97" s="108">
        <f t="shared" si="99"/>
        <v>0</v>
      </c>
      <c r="AM97" s="108">
        <f t="shared" si="100"/>
        <v>0</v>
      </c>
      <c r="AN97" s="108">
        <f t="shared" si="101"/>
        <v>0</v>
      </c>
      <c r="AO97" s="108">
        <f t="shared" si="102"/>
        <v>0</v>
      </c>
      <c r="AP97" s="108">
        <f t="shared" si="103"/>
        <v>0</v>
      </c>
      <c r="AQ97" s="108">
        <f t="shared" si="104"/>
        <v>0</v>
      </c>
      <c r="AR97" s="108">
        <f t="shared" si="105"/>
        <v>0</v>
      </c>
      <c r="AX97" s="108">
        <f t="shared" si="63"/>
        <v>5</v>
      </c>
      <c r="AY97" s="108">
        <f t="shared" si="64"/>
        <v>5</v>
      </c>
      <c r="AZ97" s="108">
        <f t="shared" si="65"/>
        <v>5</v>
      </c>
      <c r="BA97" s="108">
        <f t="shared" si="66"/>
        <v>5</v>
      </c>
      <c r="BB97" s="108">
        <f t="shared" si="67"/>
        <v>5</v>
      </c>
      <c r="BC97" s="108">
        <f t="shared" si="68"/>
        <v>5</v>
      </c>
      <c r="BD97" s="108">
        <f t="shared" si="69"/>
        <v>5</v>
      </c>
      <c r="BE97" s="108">
        <f t="shared" si="70"/>
        <v>5</v>
      </c>
      <c r="BF97" s="108">
        <f t="shared" si="71"/>
        <v>5</v>
      </c>
      <c r="BG97" s="108">
        <f t="shared" si="72"/>
        <v>5</v>
      </c>
      <c r="BH97" s="108">
        <f t="shared" si="85"/>
        <v>100</v>
      </c>
      <c r="BJ97" s="108">
        <f t="shared" si="73"/>
        <v>5</v>
      </c>
      <c r="BK97" s="108">
        <f t="shared" si="74"/>
        <v>5</v>
      </c>
      <c r="BL97" s="108">
        <f t="shared" si="75"/>
        <v>5</v>
      </c>
      <c r="BM97" s="108">
        <f t="shared" si="76"/>
        <v>5</v>
      </c>
      <c r="BN97" s="108">
        <f t="shared" si="77"/>
        <v>5</v>
      </c>
      <c r="BO97" s="108">
        <f t="shared" si="78"/>
        <v>5</v>
      </c>
      <c r="BP97" s="108">
        <f t="shared" si="79"/>
        <v>5</v>
      </c>
      <c r="BQ97" s="108">
        <f t="shared" si="80"/>
        <v>5</v>
      </c>
      <c r="BR97" s="108">
        <f t="shared" si="81"/>
        <v>5</v>
      </c>
      <c r="BS97" s="108">
        <f t="shared" si="82"/>
        <v>5</v>
      </c>
      <c r="BT97" s="108">
        <f t="shared" si="86"/>
        <v>100</v>
      </c>
    </row>
    <row r="98" spans="1:72" ht="25" customHeight="1" x14ac:dyDescent="0.3">
      <c r="A98" s="185"/>
      <c r="B98" s="116" t="s">
        <v>1497</v>
      </c>
      <c r="C98" s="126" t="s">
        <v>360</v>
      </c>
      <c r="D98" s="124" t="s">
        <v>343</v>
      </c>
      <c r="E98" s="116" t="s">
        <v>351</v>
      </c>
      <c r="F98" s="111">
        <f>7+21.855034/60</f>
        <v>7.3642505666666667</v>
      </c>
      <c r="G98" s="111">
        <f>134+31.937901/60</f>
        <v>134.53229834999999</v>
      </c>
      <c r="H98" s="295" t="s">
        <v>357</v>
      </c>
      <c r="I98" s="112">
        <v>2019</v>
      </c>
      <c r="J98" s="112" t="s">
        <v>311</v>
      </c>
      <c r="K98" s="295" t="s">
        <v>311</v>
      </c>
      <c r="L98" s="117">
        <v>804</v>
      </c>
      <c r="M98" s="118" t="s">
        <v>308</v>
      </c>
      <c r="N98" s="118" t="s">
        <v>159</v>
      </c>
      <c r="O98" s="118" t="s">
        <v>359</v>
      </c>
      <c r="P98" s="196" t="s">
        <v>322</v>
      </c>
      <c r="Q98" s="118" t="s">
        <v>353</v>
      </c>
      <c r="R98" s="154">
        <v>5</v>
      </c>
      <c r="S98" s="154">
        <v>5</v>
      </c>
      <c r="T98" s="154">
        <v>5</v>
      </c>
      <c r="U98" s="154">
        <v>5</v>
      </c>
      <c r="V98" s="154">
        <v>5</v>
      </c>
      <c r="W98" s="154">
        <v>5</v>
      </c>
      <c r="X98" s="154">
        <v>5</v>
      </c>
      <c r="Y98" s="154">
        <v>5</v>
      </c>
      <c r="Z98" s="154">
        <v>5</v>
      </c>
      <c r="AA98" s="154">
        <v>5</v>
      </c>
      <c r="AB98" s="296">
        <f t="shared" si="83"/>
        <v>100</v>
      </c>
      <c r="AC98" s="297">
        <f t="shared" si="96"/>
        <v>2010000</v>
      </c>
      <c r="AD98" s="301">
        <f t="shared" si="84"/>
        <v>10050</v>
      </c>
      <c r="AE98" s="298"/>
      <c r="AJ98" s="108">
        <f t="shared" si="97"/>
        <v>0</v>
      </c>
      <c r="AK98" s="108">
        <f t="shared" si="98"/>
        <v>0</v>
      </c>
      <c r="AL98" s="108">
        <f t="shared" si="99"/>
        <v>0</v>
      </c>
      <c r="AM98" s="108">
        <f t="shared" si="100"/>
        <v>0</v>
      </c>
      <c r="AN98" s="108">
        <f t="shared" si="101"/>
        <v>0</v>
      </c>
      <c r="AO98" s="108">
        <f t="shared" si="102"/>
        <v>0</v>
      </c>
      <c r="AP98" s="108">
        <f t="shared" si="103"/>
        <v>0</v>
      </c>
      <c r="AQ98" s="108">
        <f t="shared" si="104"/>
        <v>0</v>
      </c>
      <c r="AR98" s="108">
        <f t="shared" si="105"/>
        <v>0</v>
      </c>
      <c r="AX98" s="108">
        <f t="shared" si="63"/>
        <v>5</v>
      </c>
      <c r="AY98" s="108">
        <f t="shared" si="64"/>
        <v>5</v>
      </c>
      <c r="AZ98" s="108">
        <f t="shared" si="65"/>
        <v>5</v>
      </c>
      <c r="BA98" s="108">
        <f t="shared" si="66"/>
        <v>5</v>
      </c>
      <c r="BB98" s="108">
        <f t="shared" si="67"/>
        <v>5</v>
      </c>
      <c r="BC98" s="108">
        <f t="shared" si="68"/>
        <v>5</v>
      </c>
      <c r="BD98" s="108">
        <f t="shared" si="69"/>
        <v>5</v>
      </c>
      <c r="BE98" s="108">
        <f t="shared" si="70"/>
        <v>5</v>
      </c>
      <c r="BF98" s="108">
        <f t="shared" si="71"/>
        <v>5</v>
      </c>
      <c r="BG98" s="108">
        <f t="shared" si="72"/>
        <v>5</v>
      </c>
      <c r="BH98" s="108">
        <f t="shared" si="85"/>
        <v>100</v>
      </c>
      <c r="BJ98" s="108">
        <f t="shared" si="73"/>
        <v>5</v>
      </c>
      <c r="BK98" s="108">
        <f t="shared" si="74"/>
        <v>5</v>
      </c>
      <c r="BL98" s="108">
        <f t="shared" si="75"/>
        <v>5</v>
      </c>
      <c r="BM98" s="108">
        <f t="shared" si="76"/>
        <v>5</v>
      </c>
      <c r="BN98" s="108">
        <f t="shared" si="77"/>
        <v>5</v>
      </c>
      <c r="BO98" s="108">
        <f t="shared" si="78"/>
        <v>5</v>
      </c>
      <c r="BP98" s="108">
        <f t="shared" si="79"/>
        <v>5</v>
      </c>
      <c r="BQ98" s="108">
        <f t="shared" si="80"/>
        <v>5</v>
      </c>
      <c r="BR98" s="108">
        <f t="shared" si="81"/>
        <v>5</v>
      </c>
      <c r="BS98" s="108">
        <f t="shared" si="82"/>
        <v>5</v>
      </c>
      <c r="BT98" s="108">
        <f t="shared" si="86"/>
        <v>100</v>
      </c>
    </row>
    <row r="99" spans="1:72" ht="25" customHeight="1" x14ac:dyDescent="0.3">
      <c r="A99" s="185"/>
      <c r="B99" s="116" t="s">
        <v>1498</v>
      </c>
      <c r="C99" s="126" t="s">
        <v>361</v>
      </c>
      <c r="D99" s="124" t="s">
        <v>343</v>
      </c>
      <c r="E99" s="116" t="s">
        <v>351</v>
      </c>
      <c r="F99" s="111">
        <f>7+27.83024/60</f>
        <v>7.4638373333333332</v>
      </c>
      <c r="G99" s="111">
        <f>134+31.92311/60</f>
        <v>134.53205183333333</v>
      </c>
      <c r="H99" s="295" t="s">
        <v>362</v>
      </c>
      <c r="I99" s="112" t="s">
        <v>502</v>
      </c>
      <c r="J99" s="112" t="s">
        <v>311</v>
      </c>
      <c r="K99" s="295" t="s">
        <v>311</v>
      </c>
      <c r="L99" s="117">
        <v>114</v>
      </c>
      <c r="M99" s="118" t="s">
        <v>308</v>
      </c>
      <c r="N99" s="118" t="s">
        <v>159</v>
      </c>
      <c r="O99" s="118" t="s">
        <v>1279</v>
      </c>
      <c r="P99" s="196" t="s">
        <v>328</v>
      </c>
      <c r="Q99" s="118" t="s">
        <v>353</v>
      </c>
      <c r="R99" s="154">
        <v>4</v>
      </c>
      <c r="S99" s="154">
        <v>4</v>
      </c>
      <c r="T99" s="154">
        <v>3</v>
      </c>
      <c r="U99" s="154">
        <v>3</v>
      </c>
      <c r="V99" s="154">
        <v>3</v>
      </c>
      <c r="W99" s="154">
        <v>3</v>
      </c>
      <c r="X99" s="154">
        <v>3</v>
      </c>
      <c r="Y99" s="154">
        <v>3</v>
      </c>
      <c r="Z99" s="154">
        <v>3</v>
      </c>
      <c r="AA99" s="154">
        <v>3</v>
      </c>
      <c r="AB99" s="296">
        <f t="shared" si="83"/>
        <v>68</v>
      </c>
      <c r="AC99" s="297">
        <f t="shared" si="96"/>
        <v>285000</v>
      </c>
      <c r="AD99" s="301">
        <f t="shared" si="84"/>
        <v>1425</v>
      </c>
      <c r="AE99" s="298"/>
      <c r="AJ99" s="108">
        <f t="shared" si="97"/>
        <v>0</v>
      </c>
      <c r="AK99" s="108">
        <f t="shared" si="98"/>
        <v>0</v>
      </c>
      <c r="AL99" s="108">
        <f t="shared" si="99"/>
        <v>0</v>
      </c>
      <c r="AM99" s="108">
        <f t="shared" si="100"/>
        <v>0</v>
      </c>
      <c r="AN99" s="108">
        <f t="shared" si="101"/>
        <v>0</v>
      </c>
      <c r="AO99" s="108">
        <f t="shared" si="102"/>
        <v>0</v>
      </c>
      <c r="AP99" s="108">
        <f t="shared" si="103"/>
        <v>0</v>
      </c>
      <c r="AQ99" s="108">
        <f t="shared" si="104"/>
        <v>0</v>
      </c>
      <c r="AR99" s="108">
        <f t="shared" si="105"/>
        <v>0</v>
      </c>
      <c r="AX99" s="108">
        <f t="shared" si="63"/>
        <v>4</v>
      </c>
      <c r="AY99" s="108">
        <f t="shared" si="64"/>
        <v>4</v>
      </c>
      <c r="AZ99" s="108">
        <f t="shared" si="65"/>
        <v>3</v>
      </c>
      <c r="BA99" s="108">
        <f t="shared" si="66"/>
        <v>3</v>
      </c>
      <c r="BB99" s="108">
        <f t="shared" si="67"/>
        <v>3</v>
      </c>
      <c r="BC99" s="108">
        <f t="shared" si="68"/>
        <v>3</v>
      </c>
      <c r="BD99" s="108">
        <f t="shared" si="69"/>
        <v>3</v>
      </c>
      <c r="BE99" s="108">
        <f t="shared" si="70"/>
        <v>3</v>
      </c>
      <c r="BF99" s="108">
        <f t="shared" si="71"/>
        <v>3</v>
      </c>
      <c r="BG99" s="108">
        <f t="shared" si="72"/>
        <v>3</v>
      </c>
      <c r="BH99" s="108">
        <f t="shared" si="85"/>
        <v>68</v>
      </c>
      <c r="BJ99" s="108">
        <f t="shared" si="73"/>
        <v>5</v>
      </c>
      <c r="BK99" s="108">
        <f t="shared" si="74"/>
        <v>5</v>
      </c>
      <c r="BL99" s="108">
        <f t="shared" si="75"/>
        <v>5</v>
      </c>
      <c r="BM99" s="108">
        <f t="shared" si="76"/>
        <v>5</v>
      </c>
      <c r="BN99" s="108">
        <f t="shared" si="77"/>
        <v>5</v>
      </c>
      <c r="BO99" s="108">
        <f t="shared" si="78"/>
        <v>5</v>
      </c>
      <c r="BP99" s="108">
        <f t="shared" si="79"/>
        <v>5</v>
      </c>
      <c r="BQ99" s="108">
        <f t="shared" si="80"/>
        <v>5</v>
      </c>
      <c r="BR99" s="108">
        <f t="shared" si="81"/>
        <v>5</v>
      </c>
      <c r="BS99" s="108">
        <f t="shared" si="82"/>
        <v>5</v>
      </c>
      <c r="BT99" s="108">
        <f t="shared" si="86"/>
        <v>100</v>
      </c>
    </row>
    <row r="100" spans="1:72" ht="25" customHeight="1" x14ac:dyDescent="0.3">
      <c r="A100" s="185"/>
      <c r="B100" s="116" t="s">
        <v>1499</v>
      </c>
      <c r="C100" s="126" t="s">
        <v>1882</v>
      </c>
      <c r="D100" s="124" t="s">
        <v>343</v>
      </c>
      <c r="E100" s="116" t="s">
        <v>1703</v>
      </c>
      <c r="F100" s="111">
        <f>7+26.00321/60</f>
        <v>7.4333868333333335</v>
      </c>
      <c r="G100" s="111">
        <f>134+31.32568/60</f>
        <v>134.52209466666667</v>
      </c>
      <c r="H100" s="295" t="s">
        <v>1397</v>
      </c>
      <c r="I100" s="112">
        <v>2019</v>
      </c>
      <c r="J100" s="112" t="s">
        <v>311</v>
      </c>
      <c r="K100" s="295" t="s">
        <v>311</v>
      </c>
      <c r="L100" s="117">
        <v>222</v>
      </c>
      <c r="M100" s="118" t="s">
        <v>308</v>
      </c>
      <c r="N100" s="118" t="s">
        <v>159</v>
      </c>
      <c r="O100" s="118" t="s">
        <v>359</v>
      </c>
      <c r="P100" s="196" t="s">
        <v>1883</v>
      </c>
      <c r="Q100" s="118" t="s">
        <v>353</v>
      </c>
      <c r="R100" s="154">
        <v>5</v>
      </c>
      <c r="S100" s="154">
        <v>5</v>
      </c>
      <c r="T100" s="154">
        <v>5</v>
      </c>
      <c r="U100" s="154">
        <v>5</v>
      </c>
      <c r="V100" s="154">
        <v>5</v>
      </c>
      <c r="W100" s="154">
        <v>5</v>
      </c>
      <c r="X100" s="154">
        <v>5</v>
      </c>
      <c r="Y100" s="154">
        <v>5</v>
      </c>
      <c r="Z100" s="154">
        <v>5</v>
      </c>
      <c r="AA100" s="154">
        <v>5</v>
      </c>
      <c r="AB100" s="296">
        <f t="shared" si="83"/>
        <v>100</v>
      </c>
      <c r="AC100" s="297">
        <f t="shared" si="96"/>
        <v>555000</v>
      </c>
      <c r="AD100" s="301">
        <f t="shared" si="84"/>
        <v>2775</v>
      </c>
      <c r="AE100" s="298"/>
      <c r="AJ100" s="108">
        <f t="shared" si="97"/>
        <v>0</v>
      </c>
      <c r="AK100" s="108">
        <f t="shared" si="98"/>
        <v>0</v>
      </c>
      <c r="AL100" s="108">
        <f t="shared" si="99"/>
        <v>0</v>
      </c>
      <c r="AM100" s="108">
        <f t="shared" si="100"/>
        <v>0</v>
      </c>
      <c r="AN100" s="108">
        <f t="shared" si="101"/>
        <v>0</v>
      </c>
      <c r="AO100" s="108">
        <f t="shared" si="102"/>
        <v>0</v>
      </c>
      <c r="AP100" s="108">
        <f t="shared" si="103"/>
        <v>0</v>
      </c>
      <c r="AQ100" s="108">
        <f t="shared" si="104"/>
        <v>0</v>
      </c>
      <c r="AR100" s="108">
        <f t="shared" si="105"/>
        <v>0</v>
      </c>
      <c r="AX100" s="108">
        <f t="shared" si="63"/>
        <v>5</v>
      </c>
      <c r="AY100" s="108">
        <f t="shared" si="64"/>
        <v>5</v>
      </c>
      <c r="AZ100" s="108">
        <f t="shared" si="65"/>
        <v>5</v>
      </c>
      <c r="BA100" s="108">
        <f t="shared" si="66"/>
        <v>5</v>
      </c>
      <c r="BB100" s="108">
        <f t="shared" si="67"/>
        <v>5</v>
      </c>
      <c r="BC100" s="108">
        <f t="shared" si="68"/>
        <v>5</v>
      </c>
      <c r="BD100" s="108">
        <f t="shared" si="69"/>
        <v>5</v>
      </c>
      <c r="BE100" s="108">
        <f t="shared" si="70"/>
        <v>5</v>
      </c>
      <c r="BF100" s="108">
        <f t="shared" si="71"/>
        <v>5</v>
      </c>
      <c r="BG100" s="108">
        <f t="shared" si="72"/>
        <v>5</v>
      </c>
      <c r="BH100" s="108">
        <f t="shared" si="85"/>
        <v>100</v>
      </c>
      <c r="BJ100" s="108">
        <f t="shared" si="73"/>
        <v>5</v>
      </c>
      <c r="BK100" s="108">
        <f t="shared" si="74"/>
        <v>5</v>
      </c>
      <c r="BL100" s="108">
        <f t="shared" si="75"/>
        <v>5</v>
      </c>
      <c r="BM100" s="108">
        <f t="shared" si="76"/>
        <v>5</v>
      </c>
      <c r="BN100" s="108">
        <f t="shared" si="77"/>
        <v>5</v>
      </c>
      <c r="BO100" s="108">
        <f t="shared" si="78"/>
        <v>5</v>
      </c>
      <c r="BP100" s="108">
        <f t="shared" si="79"/>
        <v>5</v>
      </c>
      <c r="BQ100" s="108">
        <f t="shared" si="80"/>
        <v>5</v>
      </c>
      <c r="BR100" s="108">
        <f t="shared" si="81"/>
        <v>5</v>
      </c>
      <c r="BS100" s="108">
        <f t="shared" si="82"/>
        <v>5</v>
      </c>
      <c r="BT100" s="108">
        <f t="shared" si="86"/>
        <v>100</v>
      </c>
    </row>
    <row r="101" spans="1:72" ht="25" customHeight="1" x14ac:dyDescent="0.3">
      <c r="A101" s="185"/>
      <c r="B101" s="116" t="s">
        <v>1500</v>
      </c>
      <c r="C101" s="126" t="s">
        <v>1884</v>
      </c>
      <c r="D101" s="124" t="s">
        <v>343</v>
      </c>
      <c r="E101" s="116" t="s">
        <v>1703</v>
      </c>
      <c r="F101" s="111">
        <f>7+26.09656/60</f>
        <v>7.4349426666666663</v>
      </c>
      <c r="G101" s="111">
        <f>134+31.31287/60</f>
        <v>134.52188116666667</v>
      </c>
      <c r="H101" s="295" t="s">
        <v>1397</v>
      </c>
      <c r="I101" s="112">
        <v>2019</v>
      </c>
      <c r="J101" s="112" t="s">
        <v>311</v>
      </c>
      <c r="K101" s="295" t="s">
        <v>311</v>
      </c>
      <c r="L101" s="117">
        <v>211</v>
      </c>
      <c r="M101" s="118" t="s">
        <v>308</v>
      </c>
      <c r="N101" s="118" t="s">
        <v>159</v>
      </c>
      <c r="O101" s="118" t="s">
        <v>1504</v>
      </c>
      <c r="P101" s="196" t="s">
        <v>298</v>
      </c>
      <c r="Q101" s="118" t="s">
        <v>353</v>
      </c>
      <c r="R101" s="154">
        <v>5</v>
      </c>
      <c r="S101" s="154">
        <v>5</v>
      </c>
      <c r="T101" s="154">
        <v>5</v>
      </c>
      <c r="U101" s="154">
        <v>5</v>
      </c>
      <c r="V101" s="154">
        <v>5</v>
      </c>
      <c r="W101" s="154">
        <v>5</v>
      </c>
      <c r="X101" s="154" t="s">
        <v>848</v>
      </c>
      <c r="Y101" s="154" t="s">
        <v>848</v>
      </c>
      <c r="Z101" s="154">
        <v>5</v>
      </c>
      <c r="AA101" s="154">
        <v>5</v>
      </c>
      <c r="AB101" s="296">
        <f t="shared" si="83"/>
        <v>100</v>
      </c>
      <c r="AC101" s="297">
        <f t="shared" si="96"/>
        <v>527500</v>
      </c>
      <c r="AD101" s="301">
        <f t="shared" si="84"/>
        <v>2637.5</v>
      </c>
      <c r="AE101" s="298"/>
      <c r="AJ101" s="108">
        <f t="shared" si="97"/>
        <v>0</v>
      </c>
      <c r="AK101" s="108">
        <f t="shared" si="98"/>
        <v>0</v>
      </c>
      <c r="AL101" s="108">
        <f t="shared" si="99"/>
        <v>0</v>
      </c>
      <c r="AM101" s="108">
        <f t="shared" si="100"/>
        <v>0</v>
      </c>
      <c r="AN101" s="108">
        <f t="shared" si="101"/>
        <v>0</v>
      </c>
      <c r="AO101" s="108">
        <f t="shared" si="102"/>
        <v>0</v>
      </c>
      <c r="AP101" s="108">
        <f t="shared" si="103"/>
        <v>0</v>
      </c>
      <c r="AQ101" s="108">
        <f t="shared" si="104"/>
        <v>0</v>
      </c>
      <c r="AR101" s="108">
        <f t="shared" si="105"/>
        <v>0</v>
      </c>
      <c r="AX101" s="108">
        <f t="shared" si="63"/>
        <v>5</v>
      </c>
      <c r="AY101" s="108">
        <f t="shared" si="64"/>
        <v>5</v>
      </c>
      <c r="AZ101" s="108">
        <f t="shared" si="65"/>
        <v>5</v>
      </c>
      <c r="BA101" s="108">
        <f t="shared" si="66"/>
        <v>5</v>
      </c>
      <c r="BB101" s="108">
        <f t="shared" si="67"/>
        <v>5</v>
      </c>
      <c r="BC101" s="108">
        <f t="shared" si="68"/>
        <v>5</v>
      </c>
      <c r="BD101" s="108">
        <f t="shared" si="69"/>
        <v>0</v>
      </c>
      <c r="BE101" s="108">
        <f t="shared" si="70"/>
        <v>0</v>
      </c>
      <c r="BF101" s="108">
        <f t="shared" si="71"/>
        <v>5</v>
      </c>
      <c r="BG101" s="108">
        <f t="shared" si="72"/>
        <v>5</v>
      </c>
      <c r="BH101" s="108">
        <f t="shared" si="85"/>
        <v>90</v>
      </c>
      <c r="BJ101" s="108">
        <f t="shared" si="73"/>
        <v>5</v>
      </c>
      <c r="BK101" s="108">
        <f t="shared" si="74"/>
        <v>5</v>
      </c>
      <c r="BL101" s="108">
        <f t="shared" si="75"/>
        <v>5</v>
      </c>
      <c r="BM101" s="108">
        <f t="shared" si="76"/>
        <v>5</v>
      </c>
      <c r="BN101" s="108">
        <f t="shared" si="77"/>
        <v>5</v>
      </c>
      <c r="BO101" s="108">
        <f t="shared" si="78"/>
        <v>5</v>
      </c>
      <c r="BP101" s="108">
        <f t="shared" si="79"/>
        <v>0</v>
      </c>
      <c r="BQ101" s="108">
        <f t="shared" si="80"/>
        <v>0</v>
      </c>
      <c r="BR101" s="108">
        <f t="shared" si="81"/>
        <v>5</v>
      </c>
      <c r="BS101" s="108">
        <f t="shared" si="82"/>
        <v>5</v>
      </c>
      <c r="BT101" s="108">
        <f t="shared" si="86"/>
        <v>90</v>
      </c>
    </row>
    <row r="102" spans="1:72" ht="25" customHeight="1" x14ac:dyDescent="0.3">
      <c r="A102" s="185"/>
      <c r="B102" s="116" t="s">
        <v>1501</v>
      </c>
      <c r="C102" s="126" t="s">
        <v>1885</v>
      </c>
      <c r="D102" s="124" t="s">
        <v>343</v>
      </c>
      <c r="E102" s="116" t="s">
        <v>788</v>
      </c>
      <c r="F102" s="111">
        <v>7.3408131000000001</v>
      </c>
      <c r="G102" s="111">
        <v>134.47080539999999</v>
      </c>
      <c r="H102" s="295" t="s">
        <v>1397</v>
      </c>
      <c r="I102" s="112" t="s">
        <v>983</v>
      </c>
      <c r="J102" s="112" t="s">
        <v>311</v>
      </c>
      <c r="K102" s="295" t="s">
        <v>311</v>
      </c>
      <c r="L102" s="183">
        <v>1021</v>
      </c>
      <c r="M102" s="118" t="s">
        <v>308</v>
      </c>
      <c r="N102" s="118" t="s">
        <v>159</v>
      </c>
      <c r="O102" s="118" t="s">
        <v>1504</v>
      </c>
      <c r="P102" s="196" t="s">
        <v>322</v>
      </c>
      <c r="Q102" s="196" t="s">
        <v>924</v>
      </c>
      <c r="R102" s="154">
        <v>3</v>
      </c>
      <c r="S102" s="154">
        <v>2</v>
      </c>
      <c r="T102" s="154">
        <v>2</v>
      </c>
      <c r="U102" s="154">
        <v>2</v>
      </c>
      <c r="V102" s="154">
        <v>2</v>
      </c>
      <c r="W102" s="154">
        <v>3</v>
      </c>
      <c r="X102" s="154">
        <v>3</v>
      </c>
      <c r="Y102" s="154">
        <v>4</v>
      </c>
      <c r="Z102" s="154">
        <v>3</v>
      </c>
      <c r="AA102" s="154">
        <v>5</v>
      </c>
      <c r="AB102" s="296">
        <f t="shared" si="83"/>
        <v>60</v>
      </c>
      <c r="AC102" s="297">
        <f t="shared" si="96"/>
        <v>2552500</v>
      </c>
      <c r="AD102" s="301">
        <f t="shared" si="84"/>
        <v>12762.5</v>
      </c>
      <c r="AE102" s="298"/>
      <c r="AJ102" s="108">
        <f t="shared" si="97"/>
        <v>0</v>
      </c>
      <c r="AK102" s="108">
        <f t="shared" si="98"/>
        <v>1021</v>
      </c>
      <c r="AL102" s="108">
        <f t="shared" si="99"/>
        <v>1021</v>
      </c>
      <c r="AM102" s="108">
        <f t="shared" si="100"/>
        <v>1021</v>
      </c>
      <c r="AN102" s="108">
        <f t="shared" si="101"/>
        <v>1021</v>
      </c>
      <c r="AO102" s="108">
        <f t="shared" si="102"/>
        <v>0</v>
      </c>
      <c r="AP102" s="108">
        <f t="shared" si="103"/>
        <v>0</v>
      </c>
      <c r="AQ102" s="108">
        <f t="shared" si="104"/>
        <v>0</v>
      </c>
      <c r="AR102" s="108">
        <f t="shared" si="105"/>
        <v>0</v>
      </c>
      <c r="AX102" s="108">
        <f t="shared" si="63"/>
        <v>3</v>
      </c>
      <c r="AY102" s="108">
        <f t="shared" si="64"/>
        <v>2</v>
      </c>
      <c r="AZ102" s="108">
        <f t="shared" si="65"/>
        <v>2</v>
      </c>
      <c r="BA102" s="108">
        <f t="shared" si="66"/>
        <v>2</v>
      </c>
      <c r="BB102" s="108">
        <f t="shared" si="67"/>
        <v>2</v>
      </c>
      <c r="BC102" s="108">
        <f t="shared" si="68"/>
        <v>3</v>
      </c>
      <c r="BD102" s="108">
        <f t="shared" si="69"/>
        <v>3</v>
      </c>
      <c r="BE102" s="108">
        <f t="shared" si="70"/>
        <v>4</v>
      </c>
      <c r="BF102" s="108">
        <f t="shared" si="71"/>
        <v>3</v>
      </c>
      <c r="BG102" s="108">
        <f t="shared" si="72"/>
        <v>5</v>
      </c>
      <c r="BH102" s="108">
        <f t="shared" si="85"/>
        <v>60</v>
      </c>
      <c r="BJ102" s="108">
        <f t="shared" si="73"/>
        <v>5</v>
      </c>
      <c r="BK102" s="108">
        <f t="shared" si="74"/>
        <v>5</v>
      </c>
      <c r="BL102" s="108">
        <f t="shared" si="75"/>
        <v>5</v>
      </c>
      <c r="BM102" s="108">
        <f t="shared" si="76"/>
        <v>5</v>
      </c>
      <c r="BN102" s="108">
        <f t="shared" si="77"/>
        <v>5</v>
      </c>
      <c r="BO102" s="108">
        <f t="shared" si="78"/>
        <v>5</v>
      </c>
      <c r="BP102" s="108">
        <f t="shared" si="79"/>
        <v>5</v>
      </c>
      <c r="BQ102" s="108">
        <f t="shared" si="80"/>
        <v>5</v>
      </c>
      <c r="BR102" s="108">
        <f t="shared" si="81"/>
        <v>5</v>
      </c>
      <c r="BS102" s="108">
        <f t="shared" si="82"/>
        <v>5</v>
      </c>
      <c r="BT102" s="108">
        <f t="shared" si="86"/>
        <v>100</v>
      </c>
    </row>
    <row r="103" spans="1:72" ht="25" customHeight="1" x14ac:dyDescent="0.3">
      <c r="A103" s="185"/>
      <c r="B103" s="116" t="s">
        <v>1502</v>
      </c>
      <c r="C103" s="126" t="s">
        <v>1886</v>
      </c>
      <c r="D103" s="124" t="s">
        <v>343</v>
      </c>
      <c r="E103" s="116" t="s">
        <v>788</v>
      </c>
      <c r="F103" s="111">
        <v>7.3408131000000001</v>
      </c>
      <c r="G103" s="111">
        <v>134.47080539999999</v>
      </c>
      <c r="H103" s="295" t="s">
        <v>1397</v>
      </c>
      <c r="I103" s="112" t="s">
        <v>502</v>
      </c>
      <c r="J103" s="112" t="s">
        <v>311</v>
      </c>
      <c r="K103" s="295" t="s">
        <v>311</v>
      </c>
      <c r="L103" s="183">
        <v>178</v>
      </c>
      <c r="M103" s="118" t="s">
        <v>308</v>
      </c>
      <c r="N103" s="118" t="s">
        <v>159</v>
      </c>
      <c r="O103" s="118" t="s">
        <v>329</v>
      </c>
      <c r="P103" s="196" t="s">
        <v>1284</v>
      </c>
      <c r="Q103" s="196" t="s">
        <v>924</v>
      </c>
      <c r="R103" s="154">
        <v>1</v>
      </c>
      <c r="S103" s="154">
        <v>3</v>
      </c>
      <c r="T103" s="154">
        <v>3</v>
      </c>
      <c r="U103" s="154">
        <v>4</v>
      </c>
      <c r="V103" s="154">
        <v>1</v>
      </c>
      <c r="W103" s="154">
        <v>1</v>
      </c>
      <c r="X103" s="154">
        <v>3</v>
      </c>
      <c r="Y103" s="154" t="s">
        <v>848</v>
      </c>
      <c r="Z103" s="154">
        <v>2</v>
      </c>
      <c r="AA103" s="154">
        <v>5</v>
      </c>
      <c r="AB103" s="296">
        <f t="shared" si="83"/>
        <v>57.894736842105267</v>
      </c>
      <c r="AC103" s="297">
        <f t="shared" si="96"/>
        <v>445000</v>
      </c>
      <c r="AD103" s="301">
        <f t="shared" si="84"/>
        <v>2225</v>
      </c>
      <c r="AE103" s="298"/>
      <c r="AJ103" s="108">
        <f t="shared" si="97"/>
        <v>178</v>
      </c>
      <c r="AK103" s="108">
        <f t="shared" si="98"/>
        <v>0</v>
      </c>
      <c r="AL103" s="108">
        <f t="shared" si="99"/>
        <v>0</v>
      </c>
      <c r="AM103" s="108">
        <f t="shared" si="100"/>
        <v>0</v>
      </c>
      <c r="AN103" s="108">
        <f t="shared" si="101"/>
        <v>178</v>
      </c>
      <c r="AO103" s="108">
        <f t="shared" si="102"/>
        <v>178</v>
      </c>
      <c r="AP103" s="108">
        <f t="shared" si="103"/>
        <v>0</v>
      </c>
      <c r="AQ103" s="108">
        <f t="shared" si="104"/>
        <v>0</v>
      </c>
      <c r="AR103" s="108">
        <f t="shared" si="105"/>
        <v>178</v>
      </c>
      <c r="AX103" s="108">
        <f t="shared" si="63"/>
        <v>1</v>
      </c>
      <c r="AY103" s="108">
        <f t="shared" si="64"/>
        <v>3</v>
      </c>
      <c r="AZ103" s="108">
        <f t="shared" si="65"/>
        <v>3</v>
      </c>
      <c r="BA103" s="108">
        <f t="shared" si="66"/>
        <v>4</v>
      </c>
      <c r="BB103" s="108">
        <f t="shared" si="67"/>
        <v>1</v>
      </c>
      <c r="BC103" s="108">
        <f t="shared" si="68"/>
        <v>1</v>
      </c>
      <c r="BD103" s="108">
        <f t="shared" si="69"/>
        <v>3</v>
      </c>
      <c r="BE103" s="108">
        <f t="shared" si="70"/>
        <v>0</v>
      </c>
      <c r="BF103" s="108">
        <f t="shared" si="71"/>
        <v>2</v>
      </c>
      <c r="BG103" s="108">
        <f t="shared" si="72"/>
        <v>5</v>
      </c>
      <c r="BH103" s="108">
        <f t="shared" si="85"/>
        <v>55</v>
      </c>
      <c r="BJ103" s="108">
        <f t="shared" si="73"/>
        <v>5</v>
      </c>
      <c r="BK103" s="108">
        <f t="shared" si="74"/>
        <v>5</v>
      </c>
      <c r="BL103" s="108">
        <f t="shared" si="75"/>
        <v>5</v>
      </c>
      <c r="BM103" s="108">
        <f t="shared" si="76"/>
        <v>5</v>
      </c>
      <c r="BN103" s="108">
        <f t="shared" si="77"/>
        <v>5</v>
      </c>
      <c r="BO103" s="108">
        <f t="shared" si="78"/>
        <v>5</v>
      </c>
      <c r="BP103" s="108">
        <f t="shared" si="79"/>
        <v>5</v>
      </c>
      <c r="BQ103" s="108">
        <f t="shared" si="80"/>
        <v>0</v>
      </c>
      <c r="BR103" s="108">
        <f t="shared" si="81"/>
        <v>5</v>
      </c>
      <c r="BS103" s="108">
        <f t="shared" si="82"/>
        <v>5</v>
      </c>
      <c r="BT103" s="108">
        <f t="shared" si="86"/>
        <v>95</v>
      </c>
    </row>
    <row r="104" spans="1:72" ht="25" customHeight="1" x14ac:dyDescent="0.3">
      <c r="A104" s="185"/>
      <c r="B104" s="116" t="s">
        <v>1887</v>
      </c>
      <c r="C104" s="126" t="s">
        <v>1888</v>
      </c>
      <c r="D104" s="124" t="s">
        <v>343</v>
      </c>
      <c r="E104" s="116" t="s">
        <v>788</v>
      </c>
      <c r="F104" s="111">
        <v>7.3388488000000001</v>
      </c>
      <c r="G104" s="111">
        <v>134.46832420000001</v>
      </c>
      <c r="H104" s="295" t="s">
        <v>1397</v>
      </c>
      <c r="I104" s="112">
        <v>2017</v>
      </c>
      <c r="J104" s="112" t="s">
        <v>311</v>
      </c>
      <c r="K104" s="295" t="s">
        <v>311</v>
      </c>
      <c r="L104" s="183">
        <v>164</v>
      </c>
      <c r="M104" s="118" t="s">
        <v>308</v>
      </c>
      <c r="N104" s="118" t="s">
        <v>159</v>
      </c>
      <c r="O104" s="118" t="s">
        <v>359</v>
      </c>
      <c r="P104" s="196" t="s">
        <v>1284</v>
      </c>
      <c r="Q104" s="196" t="s">
        <v>1505</v>
      </c>
      <c r="R104" s="154">
        <v>4</v>
      </c>
      <c r="S104" s="154">
        <v>4</v>
      </c>
      <c r="T104" s="154">
        <v>3</v>
      </c>
      <c r="U104" s="154">
        <v>3</v>
      </c>
      <c r="V104" s="154">
        <v>3</v>
      </c>
      <c r="W104" s="154">
        <v>2</v>
      </c>
      <c r="X104" s="154">
        <v>4</v>
      </c>
      <c r="Y104" s="154" t="s">
        <v>848</v>
      </c>
      <c r="Z104" s="154">
        <v>5</v>
      </c>
      <c r="AA104" s="154">
        <v>5</v>
      </c>
      <c r="AB104" s="296">
        <f t="shared" si="83"/>
        <v>78.94736842105263</v>
      </c>
      <c r="AC104" s="297">
        <f t="shared" si="96"/>
        <v>410000</v>
      </c>
      <c r="AD104" s="301">
        <f t="shared" si="84"/>
        <v>2050</v>
      </c>
      <c r="AE104" s="298"/>
      <c r="AJ104" s="108">
        <f t="shared" si="97"/>
        <v>0</v>
      </c>
      <c r="AK104" s="108">
        <f t="shared" si="98"/>
        <v>0</v>
      </c>
      <c r="AL104" s="108">
        <f t="shared" si="99"/>
        <v>0</v>
      </c>
      <c r="AM104" s="108">
        <f t="shared" si="100"/>
        <v>0</v>
      </c>
      <c r="AN104" s="108">
        <f t="shared" si="101"/>
        <v>0</v>
      </c>
      <c r="AO104" s="108">
        <f t="shared" si="102"/>
        <v>164</v>
      </c>
      <c r="AP104" s="108">
        <f t="shared" si="103"/>
        <v>0</v>
      </c>
      <c r="AQ104" s="108">
        <f t="shared" si="104"/>
        <v>0</v>
      </c>
      <c r="AR104" s="108">
        <f t="shared" si="105"/>
        <v>0</v>
      </c>
      <c r="AX104" s="108">
        <f t="shared" si="63"/>
        <v>4</v>
      </c>
      <c r="AY104" s="108">
        <f t="shared" si="64"/>
        <v>4</v>
      </c>
      <c r="AZ104" s="108">
        <f t="shared" si="65"/>
        <v>3</v>
      </c>
      <c r="BA104" s="108">
        <f t="shared" si="66"/>
        <v>3</v>
      </c>
      <c r="BB104" s="108">
        <f t="shared" si="67"/>
        <v>3</v>
      </c>
      <c r="BC104" s="108">
        <f t="shared" si="68"/>
        <v>2</v>
      </c>
      <c r="BD104" s="108">
        <f t="shared" si="69"/>
        <v>4</v>
      </c>
      <c r="BE104" s="108">
        <f t="shared" si="70"/>
        <v>0</v>
      </c>
      <c r="BF104" s="108">
        <f t="shared" si="71"/>
        <v>5</v>
      </c>
      <c r="BG104" s="108">
        <f t="shared" si="72"/>
        <v>5</v>
      </c>
      <c r="BH104" s="108">
        <f t="shared" si="85"/>
        <v>75</v>
      </c>
      <c r="BJ104" s="108">
        <f t="shared" si="73"/>
        <v>5</v>
      </c>
      <c r="BK104" s="108">
        <f t="shared" si="74"/>
        <v>5</v>
      </c>
      <c r="BL104" s="108">
        <f t="shared" si="75"/>
        <v>5</v>
      </c>
      <c r="BM104" s="108">
        <f t="shared" si="76"/>
        <v>5</v>
      </c>
      <c r="BN104" s="108">
        <f t="shared" si="77"/>
        <v>5</v>
      </c>
      <c r="BO104" s="108">
        <f t="shared" si="78"/>
        <v>5</v>
      </c>
      <c r="BP104" s="108">
        <f t="shared" si="79"/>
        <v>5</v>
      </c>
      <c r="BQ104" s="108">
        <f t="shared" si="80"/>
        <v>0</v>
      </c>
      <c r="BR104" s="108">
        <f t="shared" si="81"/>
        <v>5</v>
      </c>
      <c r="BS104" s="108">
        <f t="shared" si="82"/>
        <v>5</v>
      </c>
      <c r="BT104" s="108">
        <f t="shared" si="86"/>
        <v>95</v>
      </c>
    </row>
    <row r="105" spans="1:72" ht="25" customHeight="1" x14ac:dyDescent="0.3">
      <c r="A105" s="185"/>
      <c r="B105" s="116" t="s">
        <v>1889</v>
      </c>
      <c r="C105" s="126" t="s">
        <v>1890</v>
      </c>
      <c r="D105" s="124" t="s">
        <v>343</v>
      </c>
      <c r="E105" s="116" t="s">
        <v>788</v>
      </c>
      <c r="F105" s="111">
        <f>7+20/60+27/3600</f>
        <v>7.3408333333333333</v>
      </c>
      <c r="G105" s="111">
        <f>134+28/60+30/3600</f>
        <v>134.47499999999999</v>
      </c>
      <c r="H105" s="295" t="s">
        <v>1397</v>
      </c>
      <c r="I105" s="112" t="s">
        <v>983</v>
      </c>
      <c r="J105" s="112">
        <v>2018</v>
      </c>
      <c r="K105" s="295" t="s">
        <v>1503</v>
      </c>
      <c r="L105" s="183">
        <v>710</v>
      </c>
      <c r="M105" s="118" t="s">
        <v>308</v>
      </c>
      <c r="N105" s="118" t="s">
        <v>298</v>
      </c>
      <c r="O105" s="118" t="s">
        <v>329</v>
      </c>
      <c r="P105" s="196" t="s">
        <v>322</v>
      </c>
      <c r="Q105" s="196" t="s">
        <v>309</v>
      </c>
      <c r="R105" s="154">
        <v>4</v>
      </c>
      <c r="S105" s="154">
        <v>4</v>
      </c>
      <c r="T105" s="154">
        <v>4</v>
      </c>
      <c r="U105" s="154">
        <v>3</v>
      </c>
      <c r="V105" s="154">
        <v>4</v>
      </c>
      <c r="W105" s="154">
        <v>4</v>
      </c>
      <c r="X105" s="154">
        <v>3</v>
      </c>
      <c r="Y105" s="154">
        <v>4</v>
      </c>
      <c r="Z105" s="154">
        <v>4</v>
      </c>
      <c r="AA105" s="154">
        <v>4</v>
      </c>
      <c r="AB105" s="296">
        <f t="shared" si="83"/>
        <v>78</v>
      </c>
      <c r="AC105" s="297">
        <f t="shared" si="96"/>
        <v>1775000</v>
      </c>
      <c r="AD105" s="301">
        <f t="shared" si="84"/>
        <v>8875</v>
      </c>
      <c r="AE105" s="463" t="s">
        <v>2687</v>
      </c>
      <c r="AF105" s="463"/>
      <c r="AJ105" s="108">
        <f t="shared" si="97"/>
        <v>0</v>
      </c>
      <c r="AK105" s="108">
        <f t="shared" si="98"/>
        <v>0</v>
      </c>
      <c r="AL105" s="108">
        <f t="shared" si="99"/>
        <v>0</v>
      </c>
      <c r="AM105" s="108">
        <f t="shared" si="100"/>
        <v>0</v>
      </c>
      <c r="AN105" s="108">
        <f t="shared" si="101"/>
        <v>0</v>
      </c>
      <c r="AO105" s="108">
        <f t="shared" si="102"/>
        <v>0</v>
      </c>
      <c r="AP105" s="108">
        <f t="shared" si="103"/>
        <v>0</v>
      </c>
      <c r="AQ105" s="108">
        <f t="shared" si="104"/>
        <v>0</v>
      </c>
      <c r="AR105" s="108">
        <f t="shared" si="105"/>
        <v>0</v>
      </c>
      <c r="AX105" s="108">
        <f t="shared" si="63"/>
        <v>4</v>
      </c>
      <c r="AY105" s="108">
        <f t="shared" si="64"/>
        <v>4</v>
      </c>
      <c r="AZ105" s="108">
        <f t="shared" si="65"/>
        <v>4</v>
      </c>
      <c r="BA105" s="108">
        <f t="shared" si="66"/>
        <v>3</v>
      </c>
      <c r="BB105" s="108">
        <f t="shared" si="67"/>
        <v>4</v>
      </c>
      <c r="BC105" s="108">
        <f t="shared" si="68"/>
        <v>4</v>
      </c>
      <c r="BD105" s="108">
        <f t="shared" si="69"/>
        <v>3</v>
      </c>
      <c r="BE105" s="108">
        <f t="shared" si="70"/>
        <v>4</v>
      </c>
      <c r="BF105" s="108">
        <f t="shared" si="71"/>
        <v>4</v>
      </c>
      <c r="BG105" s="108">
        <f t="shared" si="72"/>
        <v>4</v>
      </c>
      <c r="BH105" s="108">
        <f t="shared" si="85"/>
        <v>78</v>
      </c>
      <c r="BJ105" s="108">
        <f t="shared" si="73"/>
        <v>5</v>
      </c>
      <c r="BK105" s="108">
        <f t="shared" si="74"/>
        <v>5</v>
      </c>
      <c r="BL105" s="108">
        <f t="shared" si="75"/>
        <v>5</v>
      </c>
      <c r="BM105" s="108">
        <f t="shared" si="76"/>
        <v>5</v>
      </c>
      <c r="BN105" s="108">
        <f t="shared" si="77"/>
        <v>5</v>
      </c>
      <c r="BO105" s="108">
        <f t="shared" si="78"/>
        <v>5</v>
      </c>
      <c r="BP105" s="108">
        <f t="shared" si="79"/>
        <v>5</v>
      </c>
      <c r="BQ105" s="108">
        <f t="shared" si="80"/>
        <v>5</v>
      </c>
      <c r="BR105" s="108">
        <f t="shared" si="81"/>
        <v>5</v>
      </c>
      <c r="BS105" s="108">
        <f t="shared" si="82"/>
        <v>5</v>
      </c>
      <c r="BT105" s="108">
        <f t="shared" si="86"/>
        <v>100</v>
      </c>
    </row>
    <row r="106" spans="1:72" ht="25" customHeight="1" x14ac:dyDescent="0.3">
      <c r="A106" s="185"/>
      <c r="B106" s="116"/>
      <c r="C106" s="126"/>
      <c r="D106" s="124"/>
      <c r="E106" s="116"/>
      <c r="F106" s="111"/>
      <c r="G106" s="111"/>
      <c r="H106" s="295"/>
      <c r="I106" s="112"/>
      <c r="J106" s="112"/>
      <c r="K106" s="295"/>
      <c r="L106" s="117"/>
      <c r="M106" s="118"/>
      <c r="N106" s="118"/>
      <c r="O106" s="118"/>
      <c r="P106" s="196"/>
      <c r="Q106" s="118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296"/>
      <c r="AC106" s="297"/>
      <c r="AD106" s="301"/>
      <c r="AE106" s="302">
        <f>SUM(AC94:AC105)</f>
        <v>26175000</v>
      </c>
      <c r="AF106" s="302">
        <f>SUM(AD94:AD105)</f>
        <v>130875</v>
      </c>
      <c r="AG106" s="303"/>
      <c r="AH106" s="303"/>
      <c r="AI106" s="303"/>
      <c r="AJ106" s="304">
        <f>SUM(AJ94:AJ105)*AJ$2*$AS$1</f>
        <v>44500</v>
      </c>
      <c r="AK106" s="304">
        <f t="shared" ref="AK106:AR106" si="106">SUM(AK94:AK105)*AK$2*$AS$1</f>
        <v>510500.00000000006</v>
      </c>
      <c r="AL106" s="304">
        <f t="shared" si="106"/>
        <v>255250.00000000003</v>
      </c>
      <c r="AM106" s="304">
        <f t="shared" si="106"/>
        <v>255250.00000000003</v>
      </c>
      <c r="AN106" s="304">
        <f t="shared" si="106"/>
        <v>299750</v>
      </c>
      <c r="AO106" s="304">
        <f t="shared" si="106"/>
        <v>171000</v>
      </c>
      <c r="AP106" s="304">
        <f t="shared" si="106"/>
        <v>0</v>
      </c>
      <c r="AQ106" s="304">
        <f t="shared" si="106"/>
        <v>103500</v>
      </c>
      <c r="AR106" s="304">
        <f t="shared" si="106"/>
        <v>31150.000000000004</v>
      </c>
      <c r="AS106" s="305">
        <f>SUM(AJ106:AR106)</f>
        <v>1670900</v>
      </c>
      <c r="AX106" s="108">
        <f t="shared" si="63"/>
        <v>0</v>
      </c>
      <c r="AY106" s="108">
        <f t="shared" si="64"/>
        <v>0</v>
      </c>
      <c r="AZ106" s="108">
        <f t="shared" si="65"/>
        <v>0</v>
      </c>
      <c r="BA106" s="108">
        <f t="shared" si="66"/>
        <v>0</v>
      </c>
      <c r="BB106" s="108">
        <f t="shared" si="67"/>
        <v>0</v>
      </c>
      <c r="BC106" s="108">
        <f t="shared" si="68"/>
        <v>0</v>
      </c>
      <c r="BD106" s="108">
        <f t="shared" si="69"/>
        <v>0</v>
      </c>
      <c r="BE106" s="108">
        <f t="shared" si="70"/>
        <v>0</v>
      </c>
      <c r="BF106" s="108">
        <f t="shared" si="71"/>
        <v>0</v>
      </c>
      <c r="BG106" s="108">
        <f t="shared" si="72"/>
        <v>0</v>
      </c>
      <c r="BH106" s="108">
        <f t="shared" si="85"/>
        <v>0</v>
      </c>
      <c r="BJ106" s="108">
        <f t="shared" si="73"/>
        <v>0</v>
      </c>
      <c r="BK106" s="108">
        <f t="shared" si="74"/>
        <v>0</v>
      </c>
      <c r="BL106" s="108">
        <f t="shared" si="75"/>
        <v>0</v>
      </c>
      <c r="BM106" s="108">
        <f t="shared" si="76"/>
        <v>0</v>
      </c>
      <c r="BN106" s="108">
        <f t="shared" si="77"/>
        <v>0</v>
      </c>
      <c r="BO106" s="108">
        <f t="shared" si="78"/>
        <v>0</v>
      </c>
      <c r="BP106" s="108">
        <f t="shared" si="79"/>
        <v>0</v>
      </c>
      <c r="BQ106" s="108">
        <f t="shared" si="80"/>
        <v>0</v>
      </c>
      <c r="BR106" s="108">
        <f t="shared" si="81"/>
        <v>0</v>
      </c>
      <c r="BS106" s="108">
        <f t="shared" si="82"/>
        <v>0</v>
      </c>
      <c r="BT106" s="108">
        <f t="shared" si="86"/>
        <v>0</v>
      </c>
    </row>
    <row r="107" spans="1:72" ht="25" customHeight="1" x14ac:dyDescent="0.3">
      <c r="A107" s="185"/>
      <c r="B107" s="116" t="s">
        <v>1023</v>
      </c>
      <c r="C107" s="126" t="s">
        <v>1270</v>
      </c>
      <c r="D107" s="124" t="s">
        <v>342</v>
      </c>
      <c r="E107" s="116" t="s">
        <v>1253</v>
      </c>
      <c r="F107" s="111">
        <f>8+4/60+51/3600</f>
        <v>8.0808333333333326</v>
      </c>
      <c r="G107" s="111">
        <f>134+40/60+6/3600</f>
        <v>134.66833333333332</v>
      </c>
      <c r="H107" s="295" t="s">
        <v>1273</v>
      </c>
      <c r="I107" s="112" t="s">
        <v>502</v>
      </c>
      <c r="J107" s="112" t="s">
        <v>848</v>
      </c>
      <c r="K107" s="295" t="s">
        <v>311</v>
      </c>
      <c r="L107" s="117">
        <v>224</v>
      </c>
      <c r="M107" s="118" t="s">
        <v>308</v>
      </c>
      <c r="N107" s="118" t="s">
        <v>298</v>
      </c>
      <c r="O107" s="118" t="s">
        <v>329</v>
      </c>
      <c r="P107" s="196" t="s">
        <v>322</v>
      </c>
      <c r="Q107" s="196" t="s">
        <v>309</v>
      </c>
      <c r="R107" s="154">
        <v>4</v>
      </c>
      <c r="S107" s="154">
        <v>4</v>
      </c>
      <c r="T107" s="154">
        <v>3</v>
      </c>
      <c r="U107" s="154">
        <v>3</v>
      </c>
      <c r="V107" s="154">
        <v>3</v>
      </c>
      <c r="W107" s="154">
        <v>3</v>
      </c>
      <c r="X107" s="154">
        <v>2</v>
      </c>
      <c r="Y107" s="154">
        <v>3</v>
      </c>
      <c r="Z107" s="154">
        <v>4</v>
      </c>
      <c r="AA107" s="154">
        <v>4</v>
      </c>
      <c r="AB107" s="296">
        <f t="shared" si="83"/>
        <v>72</v>
      </c>
      <c r="AC107" s="297">
        <f t="shared" ref="AC107:AC118" si="107">L107*AC$2</f>
        <v>560000</v>
      </c>
      <c r="AD107" s="301">
        <f t="shared" si="84"/>
        <v>2800</v>
      </c>
      <c r="AE107" s="298"/>
      <c r="AJ107" s="108">
        <f t="shared" ref="AJ107:AJ118" si="108">IF(OR(R107=1,R107=2),$L107,0)</f>
        <v>0</v>
      </c>
      <c r="AK107" s="108">
        <f t="shared" ref="AK107:AK118" si="109">IF(OR(S107=1,S107=2),$L107,0)</f>
        <v>0</v>
      </c>
      <c r="AL107" s="108">
        <f t="shared" ref="AL107:AL118" si="110">IF(OR(T107=1,T107=2),$L107,0)</f>
        <v>0</v>
      </c>
      <c r="AM107" s="108">
        <f t="shared" ref="AM107:AM118" si="111">IF(OR(U107=1,U107=2),$L107,0)</f>
        <v>0</v>
      </c>
      <c r="AN107" s="108">
        <f t="shared" ref="AN107:AN118" si="112">IF(OR(V107=1,V107=2),$L107,0)</f>
        <v>0</v>
      </c>
      <c r="AO107" s="108">
        <f t="shared" ref="AO107:AO118" si="113">IF(OR(W107=1,W107=2),$L107,0)</f>
        <v>0</v>
      </c>
      <c r="AP107" s="108">
        <f t="shared" ref="AP107:AP118" si="114">IF(OR(X107=1,X107=2),$L107,0)</f>
        <v>224</v>
      </c>
      <c r="AQ107" s="108">
        <f t="shared" ref="AQ107:AQ118" si="115">IF(OR(Y107=1,Y107=2),$L107,0)</f>
        <v>0</v>
      </c>
      <c r="AR107" s="108">
        <f t="shared" ref="AR107:AR118" si="116">IF(OR(Z107=1,Z107=2),$L107,0)</f>
        <v>0</v>
      </c>
      <c r="AX107" s="108">
        <f t="shared" si="63"/>
        <v>4</v>
      </c>
      <c r="AY107" s="108">
        <f t="shared" si="64"/>
        <v>4</v>
      </c>
      <c r="AZ107" s="108">
        <f t="shared" si="65"/>
        <v>3</v>
      </c>
      <c r="BA107" s="108">
        <f t="shared" si="66"/>
        <v>3</v>
      </c>
      <c r="BB107" s="108">
        <f t="shared" si="67"/>
        <v>3</v>
      </c>
      <c r="BC107" s="108">
        <f t="shared" si="68"/>
        <v>3</v>
      </c>
      <c r="BD107" s="108">
        <f t="shared" si="69"/>
        <v>2</v>
      </c>
      <c r="BE107" s="108">
        <f t="shared" si="70"/>
        <v>3</v>
      </c>
      <c r="BF107" s="108">
        <f t="shared" si="71"/>
        <v>4</v>
      </c>
      <c r="BG107" s="108">
        <f t="shared" si="72"/>
        <v>4</v>
      </c>
      <c r="BH107" s="108">
        <f t="shared" si="85"/>
        <v>72</v>
      </c>
      <c r="BJ107" s="108">
        <f t="shared" si="73"/>
        <v>5</v>
      </c>
      <c r="BK107" s="108">
        <f t="shared" si="74"/>
        <v>5</v>
      </c>
      <c r="BL107" s="108">
        <f t="shared" si="75"/>
        <v>5</v>
      </c>
      <c r="BM107" s="108">
        <f t="shared" si="76"/>
        <v>5</v>
      </c>
      <c r="BN107" s="108">
        <f t="shared" si="77"/>
        <v>5</v>
      </c>
      <c r="BO107" s="108">
        <f t="shared" si="78"/>
        <v>5</v>
      </c>
      <c r="BP107" s="108">
        <f t="shared" si="79"/>
        <v>5</v>
      </c>
      <c r="BQ107" s="108">
        <f t="shared" si="80"/>
        <v>5</v>
      </c>
      <c r="BR107" s="108">
        <f t="shared" si="81"/>
        <v>5</v>
      </c>
      <c r="BS107" s="108">
        <f t="shared" si="82"/>
        <v>5</v>
      </c>
      <c r="BT107" s="108">
        <f t="shared" si="86"/>
        <v>100</v>
      </c>
    </row>
    <row r="108" spans="1:72" ht="25" customHeight="1" x14ac:dyDescent="0.3">
      <c r="A108" s="185"/>
      <c r="B108" s="116" t="s">
        <v>1024</v>
      </c>
      <c r="C108" s="126" t="s">
        <v>1891</v>
      </c>
      <c r="D108" s="124" t="s">
        <v>342</v>
      </c>
      <c r="E108" s="116" t="s">
        <v>462</v>
      </c>
      <c r="F108" s="111">
        <v>7.6953338999999996</v>
      </c>
      <c r="G108" s="111">
        <v>134.6316142</v>
      </c>
      <c r="H108" s="295" t="s">
        <v>1273</v>
      </c>
      <c r="I108" s="112" t="s">
        <v>502</v>
      </c>
      <c r="J108" s="112" t="s">
        <v>848</v>
      </c>
      <c r="K108" s="295" t="s">
        <v>311</v>
      </c>
      <c r="L108" s="117">
        <v>224</v>
      </c>
      <c r="M108" s="118" t="s">
        <v>308</v>
      </c>
      <c r="N108" s="118" t="s">
        <v>298</v>
      </c>
      <c r="O108" s="118" t="s">
        <v>329</v>
      </c>
      <c r="P108" s="196" t="s">
        <v>322</v>
      </c>
      <c r="Q108" s="196" t="s">
        <v>309</v>
      </c>
      <c r="R108" s="154">
        <v>4</v>
      </c>
      <c r="S108" s="154">
        <v>4</v>
      </c>
      <c r="T108" s="154">
        <v>4</v>
      </c>
      <c r="U108" s="154">
        <v>3</v>
      </c>
      <c r="V108" s="154">
        <v>3</v>
      </c>
      <c r="W108" s="154">
        <v>3</v>
      </c>
      <c r="X108" s="154">
        <v>4</v>
      </c>
      <c r="Y108" s="154">
        <v>4</v>
      </c>
      <c r="Z108" s="154">
        <v>4</v>
      </c>
      <c r="AA108" s="154">
        <v>4</v>
      </c>
      <c r="AB108" s="296">
        <f t="shared" si="83"/>
        <v>77</v>
      </c>
      <c r="AC108" s="297">
        <f t="shared" si="107"/>
        <v>560000</v>
      </c>
      <c r="AD108" s="301">
        <f t="shared" si="84"/>
        <v>2800</v>
      </c>
      <c r="AE108" s="298"/>
      <c r="AJ108" s="108">
        <f t="shared" si="108"/>
        <v>0</v>
      </c>
      <c r="AK108" s="108">
        <f t="shared" si="109"/>
        <v>0</v>
      </c>
      <c r="AL108" s="108">
        <f t="shared" si="110"/>
        <v>0</v>
      </c>
      <c r="AM108" s="108">
        <f t="shared" si="111"/>
        <v>0</v>
      </c>
      <c r="AN108" s="108">
        <f t="shared" si="112"/>
        <v>0</v>
      </c>
      <c r="AO108" s="108">
        <f t="shared" si="113"/>
        <v>0</v>
      </c>
      <c r="AP108" s="108">
        <f t="shared" si="114"/>
        <v>0</v>
      </c>
      <c r="AQ108" s="108">
        <f t="shared" si="115"/>
        <v>0</v>
      </c>
      <c r="AR108" s="108">
        <f t="shared" si="116"/>
        <v>0</v>
      </c>
      <c r="AX108" s="108">
        <f t="shared" si="63"/>
        <v>4</v>
      </c>
      <c r="AY108" s="108">
        <f t="shared" si="64"/>
        <v>4</v>
      </c>
      <c r="AZ108" s="108">
        <f t="shared" si="65"/>
        <v>4</v>
      </c>
      <c r="BA108" s="108">
        <f t="shared" si="66"/>
        <v>3</v>
      </c>
      <c r="BB108" s="108">
        <f t="shared" si="67"/>
        <v>3</v>
      </c>
      <c r="BC108" s="108">
        <f t="shared" si="68"/>
        <v>3</v>
      </c>
      <c r="BD108" s="108">
        <f t="shared" si="69"/>
        <v>4</v>
      </c>
      <c r="BE108" s="108">
        <f t="shared" si="70"/>
        <v>4</v>
      </c>
      <c r="BF108" s="108">
        <f t="shared" si="71"/>
        <v>4</v>
      </c>
      <c r="BG108" s="108">
        <f t="shared" si="72"/>
        <v>4</v>
      </c>
      <c r="BH108" s="108">
        <f t="shared" si="85"/>
        <v>77</v>
      </c>
      <c r="BJ108" s="108">
        <f t="shared" si="73"/>
        <v>5</v>
      </c>
      <c r="BK108" s="108">
        <f t="shared" si="74"/>
        <v>5</v>
      </c>
      <c r="BL108" s="108">
        <f t="shared" si="75"/>
        <v>5</v>
      </c>
      <c r="BM108" s="108">
        <f t="shared" si="76"/>
        <v>5</v>
      </c>
      <c r="BN108" s="108">
        <f t="shared" si="77"/>
        <v>5</v>
      </c>
      <c r="BO108" s="108">
        <f t="shared" si="78"/>
        <v>5</v>
      </c>
      <c r="BP108" s="108">
        <f t="shared" si="79"/>
        <v>5</v>
      </c>
      <c r="BQ108" s="108">
        <f t="shared" si="80"/>
        <v>5</v>
      </c>
      <c r="BR108" s="108">
        <f t="shared" si="81"/>
        <v>5</v>
      </c>
      <c r="BS108" s="108">
        <f t="shared" si="82"/>
        <v>5</v>
      </c>
      <c r="BT108" s="108">
        <f t="shared" si="86"/>
        <v>100</v>
      </c>
    </row>
    <row r="109" spans="1:72" ht="25" customHeight="1" x14ac:dyDescent="0.3">
      <c r="A109" s="185"/>
      <c r="B109" s="116" t="s">
        <v>1025</v>
      </c>
      <c r="C109" s="126" t="s">
        <v>1892</v>
      </c>
      <c r="D109" s="124" t="s">
        <v>342</v>
      </c>
      <c r="E109" s="116" t="s">
        <v>290</v>
      </c>
      <c r="F109" s="111">
        <v>7.5284867000000002</v>
      </c>
      <c r="G109" s="111">
        <v>134.55709899999999</v>
      </c>
      <c r="H109" s="295" t="s">
        <v>1273</v>
      </c>
      <c r="I109" s="112" t="s">
        <v>502</v>
      </c>
      <c r="J109" s="112" t="s">
        <v>848</v>
      </c>
      <c r="K109" s="295" t="s">
        <v>311</v>
      </c>
      <c r="L109" s="117">
        <v>224</v>
      </c>
      <c r="M109" s="118" t="s">
        <v>308</v>
      </c>
      <c r="N109" s="118" t="s">
        <v>298</v>
      </c>
      <c r="O109" s="118" t="s">
        <v>329</v>
      </c>
      <c r="P109" s="196" t="s">
        <v>322</v>
      </c>
      <c r="Q109" s="196" t="s">
        <v>309</v>
      </c>
      <c r="R109" s="154">
        <v>4</v>
      </c>
      <c r="S109" s="154">
        <v>2</v>
      </c>
      <c r="T109" s="154">
        <v>2</v>
      </c>
      <c r="U109" s="154">
        <v>1</v>
      </c>
      <c r="V109" s="154">
        <v>2</v>
      </c>
      <c r="W109" s="154">
        <v>1</v>
      </c>
      <c r="X109" s="154">
        <v>1</v>
      </c>
      <c r="Y109" s="154">
        <v>1</v>
      </c>
      <c r="Z109" s="154">
        <v>3</v>
      </c>
      <c r="AA109" s="154">
        <v>4</v>
      </c>
      <c r="AB109" s="296">
        <f t="shared" si="83"/>
        <v>51</v>
      </c>
      <c r="AC109" s="297">
        <f t="shared" si="107"/>
        <v>560000</v>
      </c>
      <c r="AD109" s="301">
        <f t="shared" si="84"/>
        <v>2800</v>
      </c>
      <c r="AE109" s="298"/>
      <c r="AJ109" s="108">
        <f t="shared" si="108"/>
        <v>0</v>
      </c>
      <c r="AK109" s="108">
        <f t="shared" si="109"/>
        <v>224</v>
      </c>
      <c r="AL109" s="108">
        <f t="shared" si="110"/>
        <v>224</v>
      </c>
      <c r="AM109" s="108">
        <f t="shared" si="111"/>
        <v>224</v>
      </c>
      <c r="AN109" s="108">
        <f t="shared" si="112"/>
        <v>224</v>
      </c>
      <c r="AO109" s="108">
        <f t="shared" si="113"/>
        <v>224</v>
      </c>
      <c r="AP109" s="108">
        <f t="shared" si="114"/>
        <v>224</v>
      </c>
      <c r="AQ109" s="108">
        <f t="shared" si="115"/>
        <v>224</v>
      </c>
      <c r="AR109" s="108">
        <f t="shared" si="116"/>
        <v>0</v>
      </c>
      <c r="AX109" s="108">
        <f t="shared" si="63"/>
        <v>4</v>
      </c>
      <c r="AY109" s="108">
        <f t="shared" si="64"/>
        <v>2</v>
      </c>
      <c r="AZ109" s="108">
        <f t="shared" si="65"/>
        <v>2</v>
      </c>
      <c r="BA109" s="108">
        <f t="shared" si="66"/>
        <v>1</v>
      </c>
      <c r="BB109" s="108">
        <f t="shared" si="67"/>
        <v>2</v>
      </c>
      <c r="BC109" s="108">
        <f t="shared" si="68"/>
        <v>1</v>
      </c>
      <c r="BD109" s="108">
        <f t="shared" si="69"/>
        <v>1</v>
      </c>
      <c r="BE109" s="108">
        <f t="shared" si="70"/>
        <v>1</v>
      </c>
      <c r="BF109" s="108">
        <f t="shared" si="71"/>
        <v>3</v>
      </c>
      <c r="BG109" s="108">
        <f t="shared" si="72"/>
        <v>4</v>
      </c>
      <c r="BH109" s="108">
        <f t="shared" si="85"/>
        <v>51</v>
      </c>
      <c r="BJ109" s="108">
        <f t="shared" si="73"/>
        <v>5</v>
      </c>
      <c r="BK109" s="108">
        <f t="shared" si="74"/>
        <v>5</v>
      </c>
      <c r="BL109" s="108">
        <f t="shared" si="75"/>
        <v>5</v>
      </c>
      <c r="BM109" s="108">
        <f t="shared" si="76"/>
        <v>5</v>
      </c>
      <c r="BN109" s="108">
        <f t="shared" si="77"/>
        <v>5</v>
      </c>
      <c r="BO109" s="108">
        <f t="shared" si="78"/>
        <v>5</v>
      </c>
      <c r="BP109" s="108">
        <f t="shared" si="79"/>
        <v>5</v>
      </c>
      <c r="BQ109" s="108">
        <f t="shared" si="80"/>
        <v>5</v>
      </c>
      <c r="BR109" s="108">
        <f t="shared" si="81"/>
        <v>5</v>
      </c>
      <c r="BS109" s="108">
        <f t="shared" si="82"/>
        <v>5</v>
      </c>
      <c r="BT109" s="108">
        <f t="shared" si="86"/>
        <v>100</v>
      </c>
    </row>
    <row r="110" spans="1:72" ht="25" customHeight="1" x14ac:dyDescent="0.3">
      <c r="A110" s="185"/>
      <c r="B110" s="116" t="s">
        <v>1026</v>
      </c>
      <c r="C110" s="126" t="s">
        <v>1893</v>
      </c>
      <c r="D110" s="124" t="s">
        <v>342</v>
      </c>
      <c r="E110" s="116" t="s">
        <v>576</v>
      </c>
      <c r="F110" s="111">
        <v>7.4908266000000001</v>
      </c>
      <c r="G110" s="111">
        <v>134.6208455</v>
      </c>
      <c r="H110" s="295" t="s">
        <v>1273</v>
      </c>
      <c r="I110" s="112" t="s">
        <v>502</v>
      </c>
      <c r="J110" s="112" t="s">
        <v>848</v>
      </c>
      <c r="K110" s="295" t="s">
        <v>311</v>
      </c>
      <c r="L110" s="117">
        <v>224</v>
      </c>
      <c r="M110" s="118" t="s">
        <v>308</v>
      </c>
      <c r="N110" s="118" t="s">
        <v>298</v>
      </c>
      <c r="O110" s="118" t="s">
        <v>329</v>
      </c>
      <c r="P110" s="196" t="s">
        <v>322</v>
      </c>
      <c r="Q110" s="196" t="s">
        <v>309</v>
      </c>
      <c r="R110" s="154">
        <v>4</v>
      </c>
      <c r="S110" s="154">
        <v>4</v>
      </c>
      <c r="T110" s="154">
        <v>4</v>
      </c>
      <c r="U110" s="154">
        <v>2</v>
      </c>
      <c r="V110" s="154">
        <v>3</v>
      </c>
      <c r="W110" s="154">
        <v>3</v>
      </c>
      <c r="X110" s="154">
        <v>3</v>
      </c>
      <c r="Y110" s="154">
        <v>3</v>
      </c>
      <c r="Z110" s="154">
        <v>4</v>
      </c>
      <c r="AA110" s="154">
        <v>4</v>
      </c>
      <c r="AB110" s="296">
        <f t="shared" si="83"/>
        <v>74</v>
      </c>
      <c r="AC110" s="297">
        <f t="shared" si="107"/>
        <v>560000</v>
      </c>
      <c r="AD110" s="301">
        <f t="shared" si="84"/>
        <v>2800</v>
      </c>
      <c r="AE110" s="298"/>
      <c r="AJ110" s="108">
        <f t="shared" si="108"/>
        <v>0</v>
      </c>
      <c r="AK110" s="108">
        <f t="shared" si="109"/>
        <v>0</v>
      </c>
      <c r="AL110" s="108">
        <f t="shared" si="110"/>
        <v>0</v>
      </c>
      <c r="AM110" s="108">
        <f t="shared" si="111"/>
        <v>224</v>
      </c>
      <c r="AN110" s="108">
        <f t="shared" si="112"/>
        <v>0</v>
      </c>
      <c r="AO110" s="108">
        <f t="shared" si="113"/>
        <v>0</v>
      </c>
      <c r="AP110" s="108">
        <f t="shared" si="114"/>
        <v>0</v>
      </c>
      <c r="AQ110" s="108">
        <f t="shared" si="115"/>
        <v>0</v>
      </c>
      <c r="AR110" s="108">
        <f t="shared" si="116"/>
        <v>0</v>
      </c>
      <c r="AX110" s="108">
        <f t="shared" si="63"/>
        <v>4</v>
      </c>
      <c r="AY110" s="108">
        <f t="shared" si="64"/>
        <v>4</v>
      </c>
      <c r="AZ110" s="108">
        <f t="shared" si="65"/>
        <v>4</v>
      </c>
      <c r="BA110" s="108">
        <f t="shared" si="66"/>
        <v>2</v>
      </c>
      <c r="BB110" s="108">
        <f t="shared" si="67"/>
        <v>3</v>
      </c>
      <c r="BC110" s="108">
        <f t="shared" si="68"/>
        <v>3</v>
      </c>
      <c r="BD110" s="108">
        <f t="shared" si="69"/>
        <v>3</v>
      </c>
      <c r="BE110" s="108">
        <f t="shared" si="70"/>
        <v>3</v>
      </c>
      <c r="BF110" s="108">
        <f t="shared" si="71"/>
        <v>4</v>
      </c>
      <c r="BG110" s="108">
        <f t="shared" si="72"/>
        <v>4</v>
      </c>
      <c r="BH110" s="108">
        <f t="shared" si="85"/>
        <v>74</v>
      </c>
      <c r="BJ110" s="108">
        <f t="shared" si="73"/>
        <v>5</v>
      </c>
      <c r="BK110" s="108">
        <f t="shared" si="74"/>
        <v>5</v>
      </c>
      <c r="BL110" s="108">
        <f t="shared" si="75"/>
        <v>5</v>
      </c>
      <c r="BM110" s="108">
        <f t="shared" si="76"/>
        <v>5</v>
      </c>
      <c r="BN110" s="108">
        <f t="shared" si="77"/>
        <v>5</v>
      </c>
      <c r="BO110" s="108">
        <f t="shared" si="78"/>
        <v>5</v>
      </c>
      <c r="BP110" s="108">
        <f t="shared" si="79"/>
        <v>5</v>
      </c>
      <c r="BQ110" s="108">
        <f t="shared" si="80"/>
        <v>5</v>
      </c>
      <c r="BR110" s="108">
        <f t="shared" si="81"/>
        <v>5</v>
      </c>
      <c r="BS110" s="108">
        <f t="shared" si="82"/>
        <v>5</v>
      </c>
      <c r="BT110" s="108">
        <f t="shared" si="86"/>
        <v>100</v>
      </c>
    </row>
    <row r="111" spans="1:72" ht="25" customHeight="1" x14ac:dyDescent="0.3">
      <c r="A111" s="185"/>
      <c r="B111" s="116" t="s">
        <v>1027</v>
      </c>
      <c r="C111" s="126" t="s">
        <v>1894</v>
      </c>
      <c r="D111" s="124" t="s">
        <v>342</v>
      </c>
      <c r="E111" s="116" t="s">
        <v>739</v>
      </c>
      <c r="F111" s="111">
        <f>7+21/60+31/3600</f>
        <v>7.3586111111111103</v>
      </c>
      <c r="G111" s="111">
        <f>134+32/60+40/3600</f>
        <v>134.54444444444445</v>
      </c>
      <c r="H111" s="295" t="s">
        <v>1273</v>
      </c>
      <c r="I111" s="112" t="s">
        <v>502</v>
      </c>
      <c r="J111" s="112" t="s">
        <v>848</v>
      </c>
      <c r="K111" s="295" t="s">
        <v>311</v>
      </c>
      <c r="L111" s="117">
        <v>224</v>
      </c>
      <c r="M111" s="118" t="s">
        <v>308</v>
      </c>
      <c r="N111" s="118" t="s">
        <v>298</v>
      </c>
      <c r="O111" s="118" t="s">
        <v>329</v>
      </c>
      <c r="P111" s="196" t="s">
        <v>322</v>
      </c>
      <c r="Q111" s="196" t="s">
        <v>309</v>
      </c>
      <c r="R111" s="154">
        <v>4</v>
      </c>
      <c r="S111" s="154">
        <v>4</v>
      </c>
      <c r="T111" s="154">
        <v>3</v>
      </c>
      <c r="U111" s="154">
        <v>3</v>
      </c>
      <c r="V111" s="154">
        <v>3</v>
      </c>
      <c r="W111" s="154">
        <v>4</v>
      </c>
      <c r="X111" s="154">
        <v>4</v>
      </c>
      <c r="Y111" s="154">
        <v>5</v>
      </c>
      <c r="Z111" s="154">
        <v>5</v>
      </c>
      <c r="AA111" s="154">
        <v>5</v>
      </c>
      <c r="AB111" s="296">
        <f t="shared" si="83"/>
        <v>82</v>
      </c>
      <c r="AC111" s="297">
        <f t="shared" si="107"/>
        <v>560000</v>
      </c>
      <c r="AD111" s="301">
        <f t="shared" si="84"/>
        <v>2800</v>
      </c>
      <c r="AE111" s="298"/>
      <c r="AJ111" s="108">
        <f t="shared" si="108"/>
        <v>0</v>
      </c>
      <c r="AK111" s="108">
        <f t="shared" si="109"/>
        <v>0</v>
      </c>
      <c r="AL111" s="108">
        <f t="shared" si="110"/>
        <v>0</v>
      </c>
      <c r="AM111" s="108">
        <f t="shared" si="111"/>
        <v>0</v>
      </c>
      <c r="AN111" s="108">
        <f t="shared" si="112"/>
        <v>0</v>
      </c>
      <c r="AO111" s="108">
        <f t="shared" si="113"/>
        <v>0</v>
      </c>
      <c r="AP111" s="108">
        <f t="shared" si="114"/>
        <v>0</v>
      </c>
      <c r="AQ111" s="108">
        <f t="shared" si="115"/>
        <v>0</v>
      </c>
      <c r="AR111" s="108">
        <f t="shared" si="116"/>
        <v>0</v>
      </c>
      <c r="AX111" s="108">
        <f t="shared" si="63"/>
        <v>4</v>
      </c>
      <c r="AY111" s="108">
        <f t="shared" si="64"/>
        <v>4</v>
      </c>
      <c r="AZ111" s="108">
        <f t="shared" si="65"/>
        <v>3</v>
      </c>
      <c r="BA111" s="108">
        <f t="shared" si="66"/>
        <v>3</v>
      </c>
      <c r="BB111" s="108">
        <f t="shared" si="67"/>
        <v>3</v>
      </c>
      <c r="BC111" s="108">
        <f t="shared" si="68"/>
        <v>4</v>
      </c>
      <c r="BD111" s="108">
        <f t="shared" si="69"/>
        <v>4</v>
      </c>
      <c r="BE111" s="108">
        <f t="shared" si="70"/>
        <v>5</v>
      </c>
      <c r="BF111" s="108">
        <f t="shared" si="71"/>
        <v>5</v>
      </c>
      <c r="BG111" s="108">
        <f t="shared" si="72"/>
        <v>5</v>
      </c>
      <c r="BH111" s="108">
        <f t="shared" si="85"/>
        <v>82</v>
      </c>
      <c r="BJ111" s="108">
        <f t="shared" si="73"/>
        <v>5</v>
      </c>
      <c r="BK111" s="108">
        <f t="shared" si="74"/>
        <v>5</v>
      </c>
      <c r="BL111" s="108">
        <f t="shared" si="75"/>
        <v>5</v>
      </c>
      <c r="BM111" s="108">
        <f t="shared" si="76"/>
        <v>5</v>
      </c>
      <c r="BN111" s="108">
        <f t="shared" si="77"/>
        <v>5</v>
      </c>
      <c r="BO111" s="108">
        <f t="shared" si="78"/>
        <v>5</v>
      </c>
      <c r="BP111" s="108">
        <f t="shared" si="79"/>
        <v>5</v>
      </c>
      <c r="BQ111" s="108">
        <f t="shared" si="80"/>
        <v>5</v>
      </c>
      <c r="BR111" s="108">
        <f t="shared" si="81"/>
        <v>5</v>
      </c>
      <c r="BS111" s="108">
        <f t="shared" si="82"/>
        <v>5</v>
      </c>
      <c r="BT111" s="108">
        <f t="shared" si="86"/>
        <v>100</v>
      </c>
    </row>
    <row r="112" spans="1:72" ht="25" customHeight="1" x14ac:dyDescent="0.3">
      <c r="A112" s="185"/>
      <c r="B112" s="116" t="s">
        <v>1275</v>
      </c>
      <c r="C112" s="126" t="s">
        <v>854</v>
      </c>
      <c r="D112" s="124" t="s">
        <v>342</v>
      </c>
      <c r="E112" s="116" t="s">
        <v>910</v>
      </c>
      <c r="F112" s="111">
        <v>7.3531053999999996</v>
      </c>
      <c r="G112" s="111">
        <v>134.4655593</v>
      </c>
      <c r="H112" s="295" t="s">
        <v>355</v>
      </c>
      <c r="I112" s="112" t="s">
        <v>502</v>
      </c>
      <c r="J112" s="112">
        <v>2016</v>
      </c>
      <c r="K112" s="295" t="s">
        <v>1271</v>
      </c>
      <c r="L112" s="316">
        <v>8115</v>
      </c>
      <c r="M112" s="118" t="s">
        <v>308</v>
      </c>
      <c r="N112" s="118" t="s">
        <v>298</v>
      </c>
      <c r="O112" s="118" t="s">
        <v>329</v>
      </c>
      <c r="P112" s="196" t="s">
        <v>322</v>
      </c>
      <c r="Q112" s="118" t="s">
        <v>1272</v>
      </c>
      <c r="R112" s="154">
        <v>3</v>
      </c>
      <c r="S112" s="154">
        <v>2</v>
      </c>
      <c r="T112" s="154">
        <v>3</v>
      </c>
      <c r="U112" s="154">
        <v>3</v>
      </c>
      <c r="V112" s="154">
        <v>2</v>
      </c>
      <c r="W112" s="154">
        <v>3</v>
      </c>
      <c r="X112" s="154">
        <v>2</v>
      </c>
      <c r="Y112" s="154">
        <v>3</v>
      </c>
      <c r="Z112" s="154">
        <v>2</v>
      </c>
      <c r="AA112" s="154">
        <v>3</v>
      </c>
      <c r="AB112" s="296">
        <f t="shared" si="83"/>
        <v>52</v>
      </c>
      <c r="AC112" s="297">
        <f t="shared" si="107"/>
        <v>20287500</v>
      </c>
      <c r="AD112" s="301">
        <f t="shared" si="84"/>
        <v>101437.5</v>
      </c>
      <c r="AE112" s="298"/>
      <c r="AF112" s="317" t="s">
        <v>1972</v>
      </c>
      <c r="AG112" s="318"/>
      <c r="AH112" s="318"/>
      <c r="AI112" s="318"/>
      <c r="AJ112" s="108">
        <f t="shared" si="108"/>
        <v>0</v>
      </c>
      <c r="AK112" s="108">
        <f t="shared" si="109"/>
        <v>8115</v>
      </c>
      <c r="AL112" s="108">
        <f t="shared" si="110"/>
        <v>0</v>
      </c>
      <c r="AM112" s="108">
        <f t="shared" si="111"/>
        <v>0</v>
      </c>
      <c r="AN112" s="108">
        <f t="shared" si="112"/>
        <v>8115</v>
      </c>
      <c r="AO112" s="108">
        <f t="shared" si="113"/>
        <v>0</v>
      </c>
      <c r="AP112" s="108">
        <f t="shared" si="114"/>
        <v>8115</v>
      </c>
      <c r="AQ112" s="108">
        <f t="shared" si="115"/>
        <v>0</v>
      </c>
      <c r="AR112" s="108">
        <f t="shared" si="116"/>
        <v>8115</v>
      </c>
      <c r="AX112" s="108">
        <f t="shared" si="63"/>
        <v>3</v>
      </c>
      <c r="AY112" s="108">
        <f t="shared" si="64"/>
        <v>2</v>
      </c>
      <c r="AZ112" s="108">
        <f t="shared" si="65"/>
        <v>3</v>
      </c>
      <c r="BA112" s="108">
        <f t="shared" si="66"/>
        <v>3</v>
      </c>
      <c r="BB112" s="108">
        <f t="shared" si="67"/>
        <v>2</v>
      </c>
      <c r="BC112" s="108">
        <f t="shared" si="68"/>
        <v>3</v>
      </c>
      <c r="BD112" s="108">
        <f t="shared" si="69"/>
        <v>2</v>
      </c>
      <c r="BE112" s="108">
        <f t="shared" si="70"/>
        <v>3</v>
      </c>
      <c r="BF112" s="108">
        <f t="shared" si="71"/>
        <v>2</v>
      </c>
      <c r="BG112" s="108">
        <f t="shared" si="72"/>
        <v>3</v>
      </c>
      <c r="BH112" s="108">
        <f t="shared" si="85"/>
        <v>52</v>
      </c>
      <c r="BJ112" s="108">
        <f t="shared" si="73"/>
        <v>5</v>
      </c>
      <c r="BK112" s="108">
        <f t="shared" si="74"/>
        <v>5</v>
      </c>
      <c r="BL112" s="108">
        <f t="shared" si="75"/>
        <v>5</v>
      </c>
      <c r="BM112" s="108">
        <f t="shared" si="76"/>
        <v>5</v>
      </c>
      <c r="BN112" s="108">
        <f t="shared" si="77"/>
        <v>5</v>
      </c>
      <c r="BO112" s="108">
        <f t="shared" si="78"/>
        <v>5</v>
      </c>
      <c r="BP112" s="108">
        <f t="shared" si="79"/>
        <v>5</v>
      </c>
      <c r="BQ112" s="108">
        <f t="shared" si="80"/>
        <v>5</v>
      </c>
      <c r="BR112" s="108">
        <f t="shared" si="81"/>
        <v>5</v>
      </c>
      <c r="BS112" s="108">
        <f t="shared" si="82"/>
        <v>5</v>
      </c>
      <c r="BT112" s="108">
        <f t="shared" si="86"/>
        <v>100</v>
      </c>
    </row>
    <row r="113" spans="1:72" ht="25" customHeight="1" x14ac:dyDescent="0.3">
      <c r="A113" s="185"/>
      <c r="B113" s="116" t="s">
        <v>1280</v>
      </c>
      <c r="C113" s="126" t="s">
        <v>1276</v>
      </c>
      <c r="D113" s="124" t="s">
        <v>342</v>
      </c>
      <c r="E113" s="116" t="s">
        <v>910</v>
      </c>
      <c r="F113" s="111">
        <f>7+21/60+17/3600</f>
        <v>7.3547222222222217</v>
      </c>
      <c r="G113" s="111">
        <f>134+27/60+48/3600</f>
        <v>134.46333333333331</v>
      </c>
      <c r="H113" s="295" t="s">
        <v>1278</v>
      </c>
      <c r="I113" s="112">
        <v>2017</v>
      </c>
      <c r="J113" s="112" t="s">
        <v>848</v>
      </c>
      <c r="K113" s="295" t="s">
        <v>311</v>
      </c>
      <c r="L113" s="316">
        <v>150</v>
      </c>
      <c r="M113" s="118" t="s">
        <v>318</v>
      </c>
      <c r="N113" s="118" t="s">
        <v>159</v>
      </c>
      <c r="O113" s="118" t="s">
        <v>1279</v>
      </c>
      <c r="P113" s="196" t="s">
        <v>322</v>
      </c>
      <c r="Q113" s="118" t="s">
        <v>924</v>
      </c>
      <c r="R113" s="154">
        <v>5</v>
      </c>
      <c r="S113" s="154">
        <v>4</v>
      </c>
      <c r="T113" s="154">
        <v>4</v>
      </c>
      <c r="U113" s="154">
        <v>4</v>
      </c>
      <c r="V113" s="154">
        <v>4</v>
      </c>
      <c r="W113" s="154">
        <v>4</v>
      </c>
      <c r="X113" s="154">
        <v>4</v>
      </c>
      <c r="Y113" s="154">
        <v>5</v>
      </c>
      <c r="Z113" s="154">
        <v>5</v>
      </c>
      <c r="AA113" s="154">
        <v>5</v>
      </c>
      <c r="AB113" s="296">
        <f t="shared" si="83"/>
        <v>89</v>
      </c>
      <c r="AC113" s="297">
        <f t="shared" si="107"/>
        <v>375000</v>
      </c>
      <c r="AD113" s="301">
        <f t="shared" si="84"/>
        <v>1875</v>
      </c>
      <c r="AE113" s="298"/>
      <c r="AJ113" s="108">
        <f t="shared" si="108"/>
        <v>0</v>
      </c>
      <c r="AK113" s="108">
        <f t="shared" si="109"/>
        <v>0</v>
      </c>
      <c r="AL113" s="108">
        <f t="shared" si="110"/>
        <v>0</v>
      </c>
      <c r="AM113" s="108">
        <f t="shared" si="111"/>
        <v>0</v>
      </c>
      <c r="AN113" s="108">
        <f t="shared" si="112"/>
        <v>0</v>
      </c>
      <c r="AO113" s="108">
        <f t="shared" si="113"/>
        <v>0</v>
      </c>
      <c r="AP113" s="108">
        <f t="shared" si="114"/>
        <v>0</v>
      </c>
      <c r="AQ113" s="108">
        <f t="shared" si="115"/>
        <v>0</v>
      </c>
      <c r="AR113" s="108">
        <f t="shared" si="116"/>
        <v>0</v>
      </c>
      <c r="AX113" s="108">
        <f t="shared" si="63"/>
        <v>5</v>
      </c>
      <c r="AY113" s="108">
        <f t="shared" si="64"/>
        <v>4</v>
      </c>
      <c r="AZ113" s="108">
        <f t="shared" si="65"/>
        <v>4</v>
      </c>
      <c r="BA113" s="108">
        <f t="shared" si="66"/>
        <v>4</v>
      </c>
      <c r="BB113" s="108">
        <f t="shared" si="67"/>
        <v>4</v>
      </c>
      <c r="BC113" s="108">
        <f t="shared" si="68"/>
        <v>4</v>
      </c>
      <c r="BD113" s="108">
        <f t="shared" si="69"/>
        <v>4</v>
      </c>
      <c r="BE113" s="108">
        <f t="shared" si="70"/>
        <v>5</v>
      </c>
      <c r="BF113" s="108">
        <f t="shared" si="71"/>
        <v>5</v>
      </c>
      <c r="BG113" s="108">
        <f t="shared" si="72"/>
        <v>5</v>
      </c>
      <c r="BH113" s="108">
        <f t="shared" si="85"/>
        <v>89</v>
      </c>
      <c r="BJ113" s="108">
        <f t="shared" si="73"/>
        <v>5</v>
      </c>
      <c r="BK113" s="108">
        <f t="shared" si="74"/>
        <v>5</v>
      </c>
      <c r="BL113" s="108">
        <f t="shared" si="75"/>
        <v>5</v>
      </c>
      <c r="BM113" s="108">
        <f t="shared" si="76"/>
        <v>5</v>
      </c>
      <c r="BN113" s="108">
        <f t="shared" si="77"/>
        <v>5</v>
      </c>
      <c r="BO113" s="108">
        <f t="shared" si="78"/>
        <v>5</v>
      </c>
      <c r="BP113" s="108">
        <f t="shared" si="79"/>
        <v>5</v>
      </c>
      <c r="BQ113" s="108">
        <f t="shared" si="80"/>
        <v>5</v>
      </c>
      <c r="BR113" s="108">
        <f t="shared" si="81"/>
        <v>5</v>
      </c>
      <c r="BS113" s="108">
        <f t="shared" si="82"/>
        <v>5</v>
      </c>
      <c r="BT113" s="108">
        <f t="shared" si="86"/>
        <v>100</v>
      </c>
    </row>
    <row r="114" spans="1:72" ht="25" customHeight="1" x14ac:dyDescent="0.3">
      <c r="A114" s="185"/>
      <c r="B114" s="116" t="s">
        <v>1285</v>
      </c>
      <c r="C114" s="126" t="s">
        <v>1281</v>
      </c>
      <c r="D114" s="124" t="s">
        <v>342</v>
      </c>
      <c r="E114" s="116" t="s">
        <v>910</v>
      </c>
      <c r="F114" s="111">
        <f>7+21/60+17/3600</f>
        <v>7.3547222222222217</v>
      </c>
      <c r="G114" s="111">
        <f>134+27/60+47/3600</f>
        <v>134.46305555555554</v>
      </c>
      <c r="H114" s="295" t="s">
        <v>1282</v>
      </c>
      <c r="I114" s="112">
        <v>2017</v>
      </c>
      <c r="J114" s="112" t="s">
        <v>848</v>
      </c>
      <c r="K114" s="295" t="s">
        <v>311</v>
      </c>
      <c r="L114" s="316">
        <v>80</v>
      </c>
      <c r="M114" s="118" t="s">
        <v>308</v>
      </c>
      <c r="N114" s="118" t="s">
        <v>1283</v>
      </c>
      <c r="O114" s="118" t="s">
        <v>329</v>
      </c>
      <c r="P114" s="196" t="s">
        <v>1284</v>
      </c>
      <c r="Q114" s="118" t="s">
        <v>309</v>
      </c>
      <c r="R114" s="154">
        <v>5</v>
      </c>
      <c r="S114" s="154">
        <v>4</v>
      </c>
      <c r="T114" s="154">
        <v>4</v>
      </c>
      <c r="U114" s="154">
        <v>4</v>
      </c>
      <c r="V114" s="154">
        <v>4</v>
      </c>
      <c r="W114" s="154">
        <v>4</v>
      </c>
      <c r="X114" s="154">
        <v>4</v>
      </c>
      <c r="Y114" s="154">
        <v>5</v>
      </c>
      <c r="Z114" s="154">
        <v>5</v>
      </c>
      <c r="AA114" s="154">
        <v>5</v>
      </c>
      <c r="AB114" s="296">
        <f t="shared" si="83"/>
        <v>89</v>
      </c>
      <c r="AC114" s="297">
        <f t="shared" si="107"/>
        <v>200000</v>
      </c>
      <c r="AD114" s="301">
        <f t="shared" si="84"/>
        <v>1000</v>
      </c>
      <c r="AE114" s="298"/>
      <c r="AJ114" s="108">
        <f t="shared" si="108"/>
        <v>0</v>
      </c>
      <c r="AK114" s="108">
        <f t="shared" si="109"/>
        <v>0</v>
      </c>
      <c r="AL114" s="108">
        <f t="shared" si="110"/>
        <v>0</v>
      </c>
      <c r="AM114" s="108">
        <f t="shared" si="111"/>
        <v>0</v>
      </c>
      <c r="AN114" s="108">
        <f t="shared" si="112"/>
        <v>0</v>
      </c>
      <c r="AO114" s="108">
        <f t="shared" si="113"/>
        <v>0</v>
      </c>
      <c r="AP114" s="108">
        <f t="shared" si="114"/>
        <v>0</v>
      </c>
      <c r="AQ114" s="108">
        <f t="shared" si="115"/>
        <v>0</v>
      </c>
      <c r="AR114" s="108">
        <f t="shared" si="116"/>
        <v>0</v>
      </c>
      <c r="AX114" s="108">
        <f t="shared" si="63"/>
        <v>5</v>
      </c>
      <c r="AY114" s="108">
        <f t="shared" si="64"/>
        <v>4</v>
      </c>
      <c r="AZ114" s="108">
        <f t="shared" si="65"/>
        <v>4</v>
      </c>
      <c r="BA114" s="108">
        <f t="shared" si="66"/>
        <v>4</v>
      </c>
      <c r="BB114" s="108">
        <f t="shared" si="67"/>
        <v>4</v>
      </c>
      <c r="BC114" s="108">
        <f t="shared" si="68"/>
        <v>4</v>
      </c>
      <c r="BD114" s="108">
        <f t="shared" si="69"/>
        <v>4</v>
      </c>
      <c r="BE114" s="108">
        <f t="shared" si="70"/>
        <v>5</v>
      </c>
      <c r="BF114" s="108">
        <f t="shared" si="71"/>
        <v>5</v>
      </c>
      <c r="BG114" s="108">
        <f t="shared" si="72"/>
        <v>5</v>
      </c>
      <c r="BH114" s="108">
        <f t="shared" si="85"/>
        <v>89</v>
      </c>
      <c r="BJ114" s="108">
        <f t="shared" si="73"/>
        <v>5</v>
      </c>
      <c r="BK114" s="108">
        <f t="shared" si="74"/>
        <v>5</v>
      </c>
      <c r="BL114" s="108">
        <f t="shared" si="75"/>
        <v>5</v>
      </c>
      <c r="BM114" s="108">
        <f t="shared" si="76"/>
        <v>5</v>
      </c>
      <c r="BN114" s="108">
        <f t="shared" si="77"/>
        <v>5</v>
      </c>
      <c r="BO114" s="108">
        <f t="shared" si="78"/>
        <v>5</v>
      </c>
      <c r="BP114" s="108">
        <f t="shared" si="79"/>
        <v>5</v>
      </c>
      <c r="BQ114" s="108">
        <f t="shared" si="80"/>
        <v>5</v>
      </c>
      <c r="BR114" s="108">
        <f t="shared" si="81"/>
        <v>5</v>
      </c>
      <c r="BS114" s="108">
        <f t="shared" si="82"/>
        <v>5</v>
      </c>
      <c r="BT114" s="108">
        <f t="shared" si="86"/>
        <v>100</v>
      </c>
    </row>
    <row r="115" spans="1:72" ht="25" customHeight="1" x14ac:dyDescent="0.3">
      <c r="A115" s="185"/>
      <c r="B115" s="116" t="s">
        <v>1287</v>
      </c>
      <c r="C115" s="126" t="s">
        <v>1028</v>
      </c>
      <c r="D115" s="124" t="s">
        <v>342</v>
      </c>
      <c r="E115" s="116" t="s">
        <v>808</v>
      </c>
      <c r="F115" s="111">
        <f>7+20/60+21/3600</f>
        <v>7.3391666666666664</v>
      </c>
      <c r="G115" s="111">
        <f>134+28/60+23/3600</f>
        <v>134.47305555555556</v>
      </c>
      <c r="H115" s="295" t="s">
        <v>1274</v>
      </c>
      <c r="I115" s="112">
        <v>2011</v>
      </c>
      <c r="J115" s="112" t="s">
        <v>848</v>
      </c>
      <c r="K115" s="295" t="s">
        <v>311</v>
      </c>
      <c r="L115" s="316">
        <v>375</v>
      </c>
      <c r="M115" s="118" t="s">
        <v>308</v>
      </c>
      <c r="N115" s="118" t="s">
        <v>298</v>
      </c>
      <c r="O115" s="118" t="s">
        <v>329</v>
      </c>
      <c r="P115" s="196" t="s">
        <v>322</v>
      </c>
      <c r="Q115" s="118" t="s">
        <v>309</v>
      </c>
      <c r="R115" s="154">
        <v>5</v>
      </c>
      <c r="S115" s="154">
        <v>4</v>
      </c>
      <c r="T115" s="154">
        <v>3</v>
      </c>
      <c r="U115" s="154">
        <v>3</v>
      </c>
      <c r="V115" s="154">
        <v>4</v>
      </c>
      <c r="W115" s="154">
        <v>4</v>
      </c>
      <c r="X115" s="154">
        <v>4</v>
      </c>
      <c r="Y115" s="154">
        <v>5</v>
      </c>
      <c r="Z115" s="154">
        <v>5</v>
      </c>
      <c r="AA115" s="154">
        <v>5</v>
      </c>
      <c r="AB115" s="296">
        <f t="shared" si="83"/>
        <v>86</v>
      </c>
      <c r="AC115" s="297">
        <f t="shared" si="107"/>
        <v>937500</v>
      </c>
      <c r="AD115" s="301">
        <f t="shared" si="84"/>
        <v>4687.5</v>
      </c>
      <c r="AE115" s="298"/>
      <c r="AJ115" s="108">
        <f t="shared" si="108"/>
        <v>0</v>
      </c>
      <c r="AK115" s="108">
        <f t="shared" si="109"/>
        <v>0</v>
      </c>
      <c r="AL115" s="108">
        <f t="shared" si="110"/>
        <v>0</v>
      </c>
      <c r="AM115" s="108">
        <f t="shared" si="111"/>
        <v>0</v>
      </c>
      <c r="AN115" s="108">
        <f t="shared" si="112"/>
        <v>0</v>
      </c>
      <c r="AO115" s="108">
        <f t="shared" si="113"/>
        <v>0</v>
      </c>
      <c r="AP115" s="108">
        <f t="shared" si="114"/>
        <v>0</v>
      </c>
      <c r="AQ115" s="108">
        <f t="shared" si="115"/>
        <v>0</v>
      </c>
      <c r="AR115" s="108">
        <f t="shared" si="116"/>
        <v>0</v>
      </c>
      <c r="AX115" s="108">
        <f t="shared" si="63"/>
        <v>5</v>
      </c>
      <c r="AY115" s="108">
        <f t="shared" si="64"/>
        <v>4</v>
      </c>
      <c r="AZ115" s="108">
        <f t="shared" si="65"/>
        <v>3</v>
      </c>
      <c r="BA115" s="108">
        <f t="shared" si="66"/>
        <v>3</v>
      </c>
      <c r="BB115" s="108">
        <f t="shared" si="67"/>
        <v>4</v>
      </c>
      <c r="BC115" s="108">
        <f t="shared" si="68"/>
        <v>4</v>
      </c>
      <c r="BD115" s="108">
        <f t="shared" si="69"/>
        <v>4</v>
      </c>
      <c r="BE115" s="108">
        <f t="shared" si="70"/>
        <v>5</v>
      </c>
      <c r="BF115" s="108">
        <f t="shared" si="71"/>
        <v>5</v>
      </c>
      <c r="BG115" s="108">
        <f t="shared" si="72"/>
        <v>5</v>
      </c>
      <c r="BH115" s="108">
        <f t="shared" si="85"/>
        <v>86</v>
      </c>
      <c r="BJ115" s="108">
        <f t="shared" si="73"/>
        <v>5</v>
      </c>
      <c r="BK115" s="108">
        <f t="shared" si="74"/>
        <v>5</v>
      </c>
      <c r="BL115" s="108">
        <f t="shared" si="75"/>
        <v>5</v>
      </c>
      <c r="BM115" s="108">
        <f t="shared" si="76"/>
        <v>5</v>
      </c>
      <c r="BN115" s="108">
        <f t="shared" si="77"/>
        <v>5</v>
      </c>
      <c r="BO115" s="108">
        <f t="shared" si="78"/>
        <v>5</v>
      </c>
      <c r="BP115" s="108">
        <f t="shared" si="79"/>
        <v>5</v>
      </c>
      <c r="BQ115" s="108">
        <f t="shared" si="80"/>
        <v>5</v>
      </c>
      <c r="BR115" s="108">
        <f t="shared" si="81"/>
        <v>5</v>
      </c>
      <c r="BS115" s="108">
        <f t="shared" si="82"/>
        <v>5</v>
      </c>
      <c r="BT115" s="108">
        <f t="shared" si="86"/>
        <v>100</v>
      </c>
    </row>
    <row r="116" spans="1:72" ht="25" customHeight="1" x14ac:dyDescent="0.3">
      <c r="A116" s="185"/>
      <c r="B116" s="116" t="s">
        <v>1289</v>
      </c>
      <c r="C116" s="126" t="s">
        <v>1286</v>
      </c>
      <c r="D116" s="124" t="s">
        <v>342</v>
      </c>
      <c r="E116" s="116" t="s">
        <v>910</v>
      </c>
      <c r="F116" s="111">
        <f>7+21/60+20/3600</f>
        <v>7.3555555555555552</v>
      </c>
      <c r="G116" s="111">
        <f>134+27/60+30/3600</f>
        <v>134.45833333333331</v>
      </c>
      <c r="H116" s="295" t="s">
        <v>1277</v>
      </c>
      <c r="I116" s="112" t="s">
        <v>502</v>
      </c>
      <c r="J116" s="112" t="s">
        <v>848</v>
      </c>
      <c r="K116" s="295" t="s">
        <v>311</v>
      </c>
      <c r="L116" s="316">
        <v>280</v>
      </c>
      <c r="M116" s="118" t="s">
        <v>308</v>
      </c>
      <c r="N116" s="118" t="s">
        <v>159</v>
      </c>
      <c r="O116" s="118" t="s">
        <v>329</v>
      </c>
      <c r="P116" s="196" t="s">
        <v>322</v>
      </c>
      <c r="Q116" s="118" t="s">
        <v>1288</v>
      </c>
      <c r="R116" s="154">
        <v>4</v>
      </c>
      <c r="S116" s="154">
        <v>3</v>
      </c>
      <c r="T116" s="154">
        <v>2</v>
      </c>
      <c r="U116" s="154">
        <v>2</v>
      </c>
      <c r="V116" s="154">
        <v>3</v>
      </c>
      <c r="W116" s="154">
        <v>3</v>
      </c>
      <c r="X116" s="154">
        <v>3</v>
      </c>
      <c r="Y116" s="154">
        <v>4</v>
      </c>
      <c r="Z116" s="154">
        <v>2</v>
      </c>
      <c r="AA116" s="154">
        <v>3</v>
      </c>
      <c r="AB116" s="296">
        <f t="shared" si="83"/>
        <v>60</v>
      </c>
      <c r="AC116" s="297">
        <f t="shared" si="107"/>
        <v>700000</v>
      </c>
      <c r="AD116" s="301">
        <f t="shared" si="84"/>
        <v>3500</v>
      </c>
      <c r="AE116" s="298"/>
      <c r="AJ116" s="108">
        <f t="shared" si="108"/>
        <v>0</v>
      </c>
      <c r="AK116" s="108">
        <f t="shared" si="109"/>
        <v>0</v>
      </c>
      <c r="AL116" s="108">
        <f t="shared" si="110"/>
        <v>280</v>
      </c>
      <c r="AM116" s="108">
        <f t="shared" si="111"/>
        <v>280</v>
      </c>
      <c r="AN116" s="108">
        <f t="shared" si="112"/>
        <v>0</v>
      </c>
      <c r="AO116" s="108">
        <f t="shared" si="113"/>
        <v>0</v>
      </c>
      <c r="AP116" s="108">
        <f t="shared" si="114"/>
        <v>0</v>
      </c>
      <c r="AQ116" s="108">
        <f t="shared" si="115"/>
        <v>0</v>
      </c>
      <c r="AR116" s="108">
        <f t="shared" si="116"/>
        <v>280</v>
      </c>
      <c r="AX116" s="108">
        <f t="shared" si="63"/>
        <v>4</v>
      </c>
      <c r="AY116" s="108">
        <f t="shared" si="64"/>
        <v>3</v>
      </c>
      <c r="AZ116" s="108">
        <f t="shared" si="65"/>
        <v>2</v>
      </c>
      <c r="BA116" s="108">
        <f t="shared" si="66"/>
        <v>2</v>
      </c>
      <c r="BB116" s="108">
        <f t="shared" si="67"/>
        <v>3</v>
      </c>
      <c r="BC116" s="108">
        <f t="shared" si="68"/>
        <v>3</v>
      </c>
      <c r="BD116" s="108">
        <f t="shared" si="69"/>
        <v>3</v>
      </c>
      <c r="BE116" s="108">
        <f t="shared" si="70"/>
        <v>4</v>
      </c>
      <c r="BF116" s="108">
        <f t="shared" si="71"/>
        <v>2</v>
      </c>
      <c r="BG116" s="108">
        <f t="shared" si="72"/>
        <v>3</v>
      </c>
      <c r="BH116" s="108">
        <f t="shared" si="85"/>
        <v>60</v>
      </c>
      <c r="BJ116" s="108">
        <f t="shared" si="73"/>
        <v>5</v>
      </c>
      <c r="BK116" s="108">
        <f t="shared" si="74"/>
        <v>5</v>
      </c>
      <c r="BL116" s="108">
        <f t="shared" si="75"/>
        <v>5</v>
      </c>
      <c r="BM116" s="108">
        <f t="shared" si="76"/>
        <v>5</v>
      </c>
      <c r="BN116" s="108">
        <f t="shared" si="77"/>
        <v>5</v>
      </c>
      <c r="BO116" s="108">
        <f t="shared" si="78"/>
        <v>5</v>
      </c>
      <c r="BP116" s="108">
        <f t="shared" si="79"/>
        <v>5</v>
      </c>
      <c r="BQ116" s="108">
        <f t="shared" si="80"/>
        <v>5</v>
      </c>
      <c r="BR116" s="108">
        <f t="shared" si="81"/>
        <v>5</v>
      </c>
      <c r="BS116" s="108">
        <f t="shared" si="82"/>
        <v>5</v>
      </c>
      <c r="BT116" s="108">
        <f t="shared" si="86"/>
        <v>100</v>
      </c>
    </row>
    <row r="117" spans="1:72" ht="25" customHeight="1" x14ac:dyDescent="0.3">
      <c r="A117" s="185"/>
      <c r="B117" s="116" t="s">
        <v>1290</v>
      </c>
      <c r="C117" s="126" t="s">
        <v>1895</v>
      </c>
      <c r="D117" s="124" t="s">
        <v>342</v>
      </c>
      <c r="E117" s="116" t="s">
        <v>1896</v>
      </c>
      <c r="F117" s="111">
        <f>7+1/60+49/3600</f>
        <v>7.0302777777777781</v>
      </c>
      <c r="G117" s="111">
        <f>134+14/60+58/3600</f>
        <v>134.24944444444444</v>
      </c>
      <c r="H117" s="295" t="s">
        <v>1273</v>
      </c>
      <c r="I117" s="112" t="s">
        <v>502</v>
      </c>
      <c r="J117" s="112" t="s">
        <v>848</v>
      </c>
      <c r="K117" s="295" t="s">
        <v>311</v>
      </c>
      <c r="L117" s="117">
        <v>251</v>
      </c>
      <c r="M117" s="118" t="s">
        <v>308</v>
      </c>
      <c r="N117" s="118" t="s">
        <v>298</v>
      </c>
      <c r="O117" s="118" t="s">
        <v>329</v>
      </c>
      <c r="P117" s="196" t="s">
        <v>322</v>
      </c>
      <c r="Q117" s="196" t="s">
        <v>309</v>
      </c>
      <c r="R117" s="154">
        <v>4</v>
      </c>
      <c r="S117" s="154">
        <v>2</v>
      </c>
      <c r="T117" s="154">
        <v>2</v>
      </c>
      <c r="U117" s="154">
        <v>1</v>
      </c>
      <c r="V117" s="154">
        <v>2</v>
      </c>
      <c r="W117" s="154">
        <v>2</v>
      </c>
      <c r="X117" s="154">
        <v>2</v>
      </c>
      <c r="Y117" s="154">
        <v>3</v>
      </c>
      <c r="Z117" s="154">
        <v>3</v>
      </c>
      <c r="AA117" s="154">
        <v>3</v>
      </c>
      <c r="AB117" s="296">
        <f t="shared" si="83"/>
        <v>51</v>
      </c>
      <c r="AC117" s="297">
        <f t="shared" si="107"/>
        <v>627500</v>
      </c>
      <c r="AD117" s="301">
        <f t="shared" si="84"/>
        <v>3137.5</v>
      </c>
      <c r="AE117" s="298"/>
      <c r="AJ117" s="108">
        <f t="shared" si="108"/>
        <v>0</v>
      </c>
      <c r="AK117" s="108">
        <f t="shared" si="109"/>
        <v>251</v>
      </c>
      <c r="AL117" s="108">
        <f t="shared" si="110"/>
        <v>251</v>
      </c>
      <c r="AM117" s="108">
        <f t="shared" si="111"/>
        <v>251</v>
      </c>
      <c r="AN117" s="108">
        <f t="shared" si="112"/>
        <v>251</v>
      </c>
      <c r="AO117" s="108">
        <f t="shared" si="113"/>
        <v>251</v>
      </c>
      <c r="AP117" s="108">
        <f t="shared" si="114"/>
        <v>251</v>
      </c>
      <c r="AQ117" s="108">
        <f t="shared" si="115"/>
        <v>0</v>
      </c>
      <c r="AR117" s="108">
        <f t="shared" si="116"/>
        <v>0</v>
      </c>
      <c r="AX117" s="108">
        <f t="shared" si="63"/>
        <v>4</v>
      </c>
      <c r="AY117" s="108">
        <f t="shared" si="64"/>
        <v>2</v>
      </c>
      <c r="AZ117" s="108">
        <f t="shared" si="65"/>
        <v>2</v>
      </c>
      <c r="BA117" s="108">
        <f t="shared" si="66"/>
        <v>1</v>
      </c>
      <c r="BB117" s="108">
        <f t="shared" si="67"/>
        <v>2</v>
      </c>
      <c r="BC117" s="108">
        <f t="shared" si="68"/>
        <v>2</v>
      </c>
      <c r="BD117" s="108">
        <f t="shared" si="69"/>
        <v>2</v>
      </c>
      <c r="BE117" s="108">
        <f t="shared" si="70"/>
        <v>3</v>
      </c>
      <c r="BF117" s="108">
        <f t="shared" si="71"/>
        <v>3</v>
      </c>
      <c r="BG117" s="108">
        <f t="shared" si="72"/>
        <v>3</v>
      </c>
      <c r="BH117" s="108">
        <f t="shared" si="85"/>
        <v>51</v>
      </c>
      <c r="BJ117" s="108">
        <f t="shared" si="73"/>
        <v>5</v>
      </c>
      <c r="BK117" s="108">
        <f t="shared" si="74"/>
        <v>5</v>
      </c>
      <c r="BL117" s="108">
        <f t="shared" si="75"/>
        <v>5</v>
      </c>
      <c r="BM117" s="108">
        <f t="shared" si="76"/>
        <v>5</v>
      </c>
      <c r="BN117" s="108">
        <f t="shared" si="77"/>
        <v>5</v>
      </c>
      <c r="BO117" s="108">
        <f t="shared" si="78"/>
        <v>5</v>
      </c>
      <c r="BP117" s="108">
        <f t="shared" si="79"/>
        <v>5</v>
      </c>
      <c r="BQ117" s="108">
        <f t="shared" si="80"/>
        <v>5</v>
      </c>
      <c r="BR117" s="108">
        <f t="shared" si="81"/>
        <v>5</v>
      </c>
      <c r="BS117" s="108">
        <f t="shared" si="82"/>
        <v>5</v>
      </c>
      <c r="BT117" s="108">
        <f t="shared" si="86"/>
        <v>100</v>
      </c>
    </row>
    <row r="118" spans="1:72" ht="25" customHeight="1" x14ac:dyDescent="0.3">
      <c r="A118" s="185"/>
      <c r="B118" s="116" t="s">
        <v>1897</v>
      </c>
      <c r="C118" s="126" t="s">
        <v>1291</v>
      </c>
      <c r="D118" s="124" t="s">
        <v>342</v>
      </c>
      <c r="E118" s="116" t="s">
        <v>1178</v>
      </c>
      <c r="F118" s="111">
        <f>6+54/60+16/3600</f>
        <v>6.9044444444444446</v>
      </c>
      <c r="G118" s="111">
        <f>134+7/60+48/3600</f>
        <v>134.13</v>
      </c>
      <c r="H118" s="295" t="s">
        <v>1273</v>
      </c>
      <c r="I118" s="112" t="s">
        <v>502</v>
      </c>
      <c r="J118" s="112" t="s">
        <v>848</v>
      </c>
      <c r="K118" s="295" t="s">
        <v>311</v>
      </c>
      <c r="L118" s="117">
        <v>224</v>
      </c>
      <c r="M118" s="118" t="s">
        <v>308</v>
      </c>
      <c r="N118" s="118" t="s">
        <v>298</v>
      </c>
      <c r="O118" s="118" t="s">
        <v>329</v>
      </c>
      <c r="P118" s="196" t="s">
        <v>322</v>
      </c>
      <c r="Q118" s="196" t="s">
        <v>309</v>
      </c>
      <c r="R118" s="154">
        <v>5</v>
      </c>
      <c r="S118" s="154">
        <v>4</v>
      </c>
      <c r="T118" s="154">
        <v>5</v>
      </c>
      <c r="U118" s="154">
        <v>3</v>
      </c>
      <c r="V118" s="154">
        <v>3</v>
      </c>
      <c r="W118" s="154">
        <v>3</v>
      </c>
      <c r="X118" s="154">
        <v>2</v>
      </c>
      <c r="Y118" s="154">
        <v>3</v>
      </c>
      <c r="Z118" s="154">
        <v>3</v>
      </c>
      <c r="AA118" s="154">
        <v>4</v>
      </c>
      <c r="AB118" s="296">
        <f t="shared" si="83"/>
        <v>78</v>
      </c>
      <c r="AC118" s="297">
        <f t="shared" si="107"/>
        <v>560000</v>
      </c>
      <c r="AD118" s="301">
        <f t="shared" si="84"/>
        <v>2800</v>
      </c>
      <c r="AE118" s="463" t="s">
        <v>2686</v>
      </c>
      <c r="AF118" s="463"/>
      <c r="AJ118" s="108">
        <f t="shared" si="108"/>
        <v>0</v>
      </c>
      <c r="AK118" s="108">
        <f t="shared" si="109"/>
        <v>0</v>
      </c>
      <c r="AL118" s="108">
        <f t="shared" si="110"/>
        <v>0</v>
      </c>
      <c r="AM118" s="108">
        <f t="shared" si="111"/>
        <v>0</v>
      </c>
      <c r="AN118" s="108">
        <f t="shared" si="112"/>
        <v>0</v>
      </c>
      <c r="AO118" s="108">
        <f t="shared" si="113"/>
        <v>0</v>
      </c>
      <c r="AP118" s="108">
        <f t="shared" si="114"/>
        <v>224</v>
      </c>
      <c r="AQ118" s="108">
        <f t="shared" si="115"/>
        <v>0</v>
      </c>
      <c r="AR118" s="108">
        <f t="shared" si="116"/>
        <v>0</v>
      </c>
      <c r="AX118" s="108">
        <f t="shared" si="63"/>
        <v>5</v>
      </c>
      <c r="AY118" s="108">
        <f t="shared" si="64"/>
        <v>4</v>
      </c>
      <c r="AZ118" s="108">
        <f t="shared" si="65"/>
        <v>5</v>
      </c>
      <c r="BA118" s="108">
        <f t="shared" si="66"/>
        <v>3</v>
      </c>
      <c r="BB118" s="108">
        <f t="shared" si="67"/>
        <v>3</v>
      </c>
      <c r="BC118" s="108">
        <f t="shared" si="68"/>
        <v>3</v>
      </c>
      <c r="BD118" s="108">
        <f t="shared" si="69"/>
        <v>2</v>
      </c>
      <c r="BE118" s="108">
        <f t="shared" si="70"/>
        <v>3</v>
      </c>
      <c r="BF118" s="108">
        <f t="shared" si="71"/>
        <v>3</v>
      </c>
      <c r="BG118" s="108">
        <f t="shared" si="72"/>
        <v>4</v>
      </c>
      <c r="BH118" s="108">
        <f t="shared" si="85"/>
        <v>78</v>
      </c>
      <c r="BJ118" s="108">
        <f t="shared" si="73"/>
        <v>5</v>
      </c>
      <c r="BK118" s="108">
        <f t="shared" si="74"/>
        <v>5</v>
      </c>
      <c r="BL118" s="108">
        <f t="shared" si="75"/>
        <v>5</v>
      </c>
      <c r="BM118" s="108">
        <f t="shared" si="76"/>
        <v>5</v>
      </c>
      <c r="BN118" s="108">
        <f t="shared" si="77"/>
        <v>5</v>
      </c>
      <c r="BO118" s="108">
        <f t="shared" si="78"/>
        <v>5</v>
      </c>
      <c r="BP118" s="108">
        <f t="shared" si="79"/>
        <v>5</v>
      </c>
      <c r="BQ118" s="108">
        <f t="shared" si="80"/>
        <v>5</v>
      </c>
      <c r="BR118" s="108">
        <f t="shared" si="81"/>
        <v>5</v>
      </c>
      <c r="BS118" s="108">
        <f t="shared" si="82"/>
        <v>5</v>
      </c>
      <c r="BT118" s="108">
        <f t="shared" si="86"/>
        <v>100</v>
      </c>
    </row>
    <row r="119" spans="1:72" ht="25" customHeight="1" x14ac:dyDescent="0.3">
      <c r="A119" s="185"/>
      <c r="B119" s="116"/>
      <c r="C119" s="126"/>
      <c r="D119" s="124"/>
      <c r="E119" s="116"/>
      <c r="F119" s="111"/>
      <c r="G119" s="111"/>
      <c r="H119" s="295"/>
      <c r="I119" s="112"/>
      <c r="J119" s="112"/>
      <c r="K119" s="295"/>
      <c r="L119" s="117"/>
      <c r="M119" s="118"/>
      <c r="N119" s="118"/>
      <c r="O119" s="118"/>
      <c r="P119" s="117"/>
      <c r="Q119" s="117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296"/>
      <c r="AC119" s="297"/>
      <c r="AD119" s="301"/>
      <c r="AE119" s="302">
        <f>SUM(AC107:AC118)</f>
        <v>26487500</v>
      </c>
      <c r="AF119" s="302">
        <f>SUM(AD107:AD118)</f>
        <v>132437.5</v>
      </c>
      <c r="AG119" s="303"/>
      <c r="AH119" s="303"/>
      <c r="AI119" s="303"/>
      <c r="AJ119" s="304">
        <f>SUM(AJ114:AJ118)*AJ$2*$AS$1</f>
        <v>0</v>
      </c>
      <c r="AK119" s="304">
        <f>SUM(AK107:AK118)*AK$2*$AS$1</f>
        <v>4295000</v>
      </c>
      <c r="AL119" s="304">
        <f t="shared" ref="AL119:AR119" si="117">SUM(AL107:AL118)*AL$2*$AS$1</f>
        <v>188750</v>
      </c>
      <c r="AM119" s="304">
        <f t="shared" si="117"/>
        <v>244750</v>
      </c>
      <c r="AN119" s="304">
        <f t="shared" si="117"/>
        <v>2147500</v>
      </c>
      <c r="AO119" s="304">
        <f t="shared" si="117"/>
        <v>237500</v>
      </c>
      <c r="AP119" s="304">
        <f t="shared" si="117"/>
        <v>1581650.0000000002</v>
      </c>
      <c r="AQ119" s="304">
        <f t="shared" si="117"/>
        <v>33600</v>
      </c>
      <c r="AR119" s="304">
        <f t="shared" si="117"/>
        <v>1469125.0000000002</v>
      </c>
      <c r="AS119" s="305">
        <f>SUM(AJ119:AR119)</f>
        <v>10197875</v>
      </c>
      <c r="AX119" s="108">
        <f t="shared" si="63"/>
        <v>0</v>
      </c>
      <c r="AY119" s="108">
        <f t="shared" si="64"/>
        <v>0</v>
      </c>
      <c r="AZ119" s="108">
        <f t="shared" si="65"/>
        <v>0</v>
      </c>
      <c r="BA119" s="108">
        <f t="shared" si="66"/>
        <v>0</v>
      </c>
      <c r="BB119" s="108">
        <f t="shared" si="67"/>
        <v>0</v>
      </c>
      <c r="BC119" s="108">
        <f t="shared" si="68"/>
        <v>0</v>
      </c>
      <c r="BD119" s="108">
        <f t="shared" si="69"/>
        <v>0</v>
      </c>
      <c r="BE119" s="108">
        <f t="shared" si="70"/>
        <v>0</v>
      </c>
      <c r="BF119" s="108">
        <f t="shared" si="71"/>
        <v>0</v>
      </c>
      <c r="BG119" s="108">
        <f t="shared" si="72"/>
        <v>0</v>
      </c>
      <c r="BH119" s="108">
        <f t="shared" si="85"/>
        <v>0</v>
      </c>
      <c r="BJ119" s="108">
        <f t="shared" si="73"/>
        <v>0</v>
      </c>
      <c r="BK119" s="108">
        <f t="shared" si="74"/>
        <v>0</v>
      </c>
      <c r="BL119" s="108">
        <f t="shared" si="75"/>
        <v>0</v>
      </c>
      <c r="BM119" s="108">
        <f t="shared" si="76"/>
        <v>0</v>
      </c>
      <c r="BN119" s="108">
        <f t="shared" si="77"/>
        <v>0</v>
      </c>
      <c r="BO119" s="108">
        <f t="shared" si="78"/>
        <v>0</v>
      </c>
      <c r="BP119" s="108">
        <f t="shared" si="79"/>
        <v>0</v>
      </c>
      <c r="BQ119" s="108">
        <f t="shared" si="80"/>
        <v>0</v>
      </c>
      <c r="BR119" s="108">
        <f t="shared" si="81"/>
        <v>0</v>
      </c>
      <c r="BS119" s="108">
        <f t="shared" si="82"/>
        <v>0</v>
      </c>
      <c r="BT119" s="108">
        <f t="shared" si="86"/>
        <v>0</v>
      </c>
    </row>
    <row r="120" spans="1:72" s="333" customFormat="1" ht="25" customHeight="1" x14ac:dyDescent="0.3">
      <c r="A120" s="319"/>
      <c r="B120" s="320" t="s">
        <v>1029</v>
      </c>
      <c r="C120" s="321" t="s">
        <v>856</v>
      </c>
      <c r="D120" s="322" t="s">
        <v>323</v>
      </c>
      <c r="E120" s="320" t="s">
        <v>857</v>
      </c>
      <c r="F120" s="323">
        <v>8.0767018999999998</v>
      </c>
      <c r="G120" s="323">
        <v>134.71797649999999</v>
      </c>
      <c r="H120" s="324" t="s">
        <v>327</v>
      </c>
      <c r="I120" s="325">
        <v>2014</v>
      </c>
      <c r="J120" s="325" t="s">
        <v>848</v>
      </c>
      <c r="K120" s="324" t="s">
        <v>311</v>
      </c>
      <c r="L120" s="326">
        <v>440</v>
      </c>
      <c r="M120" s="327" t="s">
        <v>308</v>
      </c>
      <c r="N120" s="327" t="s">
        <v>298</v>
      </c>
      <c r="O120" s="327" t="s">
        <v>329</v>
      </c>
      <c r="P120" s="328" t="s">
        <v>322</v>
      </c>
      <c r="Q120" s="327" t="s">
        <v>924</v>
      </c>
      <c r="R120" s="329">
        <v>5</v>
      </c>
      <c r="S120" s="329">
        <v>5</v>
      </c>
      <c r="T120" s="329">
        <v>4</v>
      </c>
      <c r="U120" s="329">
        <v>4</v>
      </c>
      <c r="V120" s="329">
        <v>4</v>
      </c>
      <c r="W120" s="329">
        <v>5</v>
      </c>
      <c r="X120" s="329">
        <v>5</v>
      </c>
      <c r="Y120" s="329" t="s">
        <v>92</v>
      </c>
      <c r="Z120" s="329">
        <v>5</v>
      </c>
      <c r="AA120" s="329">
        <v>5</v>
      </c>
      <c r="AB120" s="296">
        <f t="shared" si="83"/>
        <v>95.78947368421052</v>
      </c>
      <c r="AC120" s="297">
        <f t="shared" ref="AC120:AC151" si="118">L120*AC$2</f>
        <v>1100000</v>
      </c>
      <c r="AD120" s="301">
        <f t="shared" si="84"/>
        <v>5500</v>
      </c>
      <c r="AE120" s="330"/>
      <c r="AF120" s="331"/>
      <c r="AG120" s="332"/>
      <c r="AH120" s="332"/>
      <c r="AI120" s="332"/>
      <c r="AJ120" s="108">
        <f t="shared" ref="AJ120:AR122" si="119">IF(OR(R120=1,R120=2),$L120,0)</f>
        <v>0</v>
      </c>
      <c r="AK120" s="108">
        <f t="shared" si="119"/>
        <v>0</v>
      </c>
      <c r="AL120" s="108">
        <f t="shared" si="119"/>
        <v>0</v>
      </c>
      <c r="AM120" s="108">
        <f t="shared" si="119"/>
        <v>0</v>
      </c>
      <c r="AN120" s="108">
        <f t="shared" si="119"/>
        <v>0</v>
      </c>
      <c r="AO120" s="108">
        <f t="shared" si="119"/>
        <v>0</v>
      </c>
      <c r="AP120" s="108">
        <f t="shared" si="119"/>
        <v>0</v>
      </c>
      <c r="AQ120" s="108">
        <f t="shared" si="119"/>
        <v>0</v>
      </c>
      <c r="AR120" s="108">
        <f t="shared" si="119"/>
        <v>0</v>
      </c>
      <c r="AS120" s="108"/>
      <c r="AX120" s="108">
        <f t="shared" si="63"/>
        <v>5</v>
      </c>
      <c r="AY120" s="108">
        <f t="shared" si="64"/>
        <v>5</v>
      </c>
      <c r="AZ120" s="108">
        <f t="shared" si="65"/>
        <v>4</v>
      </c>
      <c r="BA120" s="108">
        <f t="shared" si="66"/>
        <v>4</v>
      </c>
      <c r="BB120" s="108">
        <f t="shared" si="67"/>
        <v>4</v>
      </c>
      <c r="BC120" s="108">
        <f t="shared" si="68"/>
        <v>5</v>
      </c>
      <c r="BD120" s="108">
        <f t="shared" si="69"/>
        <v>5</v>
      </c>
      <c r="BE120" s="108">
        <f t="shared" si="70"/>
        <v>0</v>
      </c>
      <c r="BF120" s="108">
        <f t="shared" si="71"/>
        <v>5</v>
      </c>
      <c r="BG120" s="108">
        <f t="shared" si="72"/>
        <v>5</v>
      </c>
      <c r="BH120" s="108">
        <f t="shared" si="85"/>
        <v>91</v>
      </c>
      <c r="BI120" s="108"/>
      <c r="BJ120" s="108">
        <f t="shared" si="73"/>
        <v>5</v>
      </c>
      <c r="BK120" s="108">
        <f t="shared" si="74"/>
        <v>5</v>
      </c>
      <c r="BL120" s="108">
        <f t="shared" si="75"/>
        <v>5</v>
      </c>
      <c r="BM120" s="108">
        <f t="shared" si="76"/>
        <v>5</v>
      </c>
      <c r="BN120" s="108">
        <f t="shared" si="77"/>
        <v>5</v>
      </c>
      <c r="BO120" s="108">
        <f t="shared" si="78"/>
        <v>5</v>
      </c>
      <c r="BP120" s="108">
        <f t="shared" si="79"/>
        <v>5</v>
      </c>
      <c r="BQ120" s="108">
        <f t="shared" si="80"/>
        <v>0</v>
      </c>
      <c r="BR120" s="108">
        <f t="shared" si="81"/>
        <v>5</v>
      </c>
      <c r="BS120" s="108">
        <f t="shared" si="82"/>
        <v>5</v>
      </c>
      <c r="BT120" s="108">
        <f t="shared" si="86"/>
        <v>95</v>
      </c>
    </row>
    <row r="121" spans="1:72" ht="25" customHeight="1" x14ac:dyDescent="0.3">
      <c r="A121" s="185"/>
      <c r="B121" s="116" t="s">
        <v>1030</v>
      </c>
      <c r="C121" s="126" t="s">
        <v>858</v>
      </c>
      <c r="D121" s="124" t="s">
        <v>323</v>
      </c>
      <c r="E121" s="116" t="s">
        <v>462</v>
      </c>
      <c r="F121" s="111">
        <v>7.6914408999999999</v>
      </c>
      <c r="G121" s="111">
        <v>134.63334810000001</v>
      </c>
      <c r="H121" s="295" t="s">
        <v>327</v>
      </c>
      <c r="I121" s="334" t="s">
        <v>859</v>
      </c>
      <c r="J121" s="112">
        <v>2019</v>
      </c>
      <c r="K121" s="295" t="s">
        <v>843</v>
      </c>
      <c r="L121" s="117">
        <v>836</v>
      </c>
      <c r="M121" s="118" t="s">
        <v>308</v>
      </c>
      <c r="N121" s="118" t="s">
        <v>298</v>
      </c>
      <c r="O121" s="118" t="s">
        <v>330</v>
      </c>
      <c r="P121" s="196" t="s">
        <v>322</v>
      </c>
      <c r="Q121" s="118" t="s">
        <v>309</v>
      </c>
      <c r="R121" s="154">
        <v>3</v>
      </c>
      <c r="S121" s="154">
        <v>2</v>
      </c>
      <c r="T121" s="154">
        <v>2</v>
      </c>
      <c r="U121" s="154">
        <v>5</v>
      </c>
      <c r="V121" s="154">
        <v>4</v>
      </c>
      <c r="W121" s="154">
        <v>3</v>
      </c>
      <c r="X121" s="154">
        <v>4</v>
      </c>
      <c r="Y121" s="154">
        <v>3</v>
      </c>
      <c r="Z121" s="154">
        <v>3</v>
      </c>
      <c r="AA121" s="154">
        <v>3</v>
      </c>
      <c r="AB121" s="296">
        <f t="shared" si="83"/>
        <v>56.999999999999993</v>
      </c>
      <c r="AC121" s="297">
        <f t="shared" si="118"/>
        <v>2090000</v>
      </c>
      <c r="AD121" s="301">
        <f t="shared" si="84"/>
        <v>10450</v>
      </c>
      <c r="AE121" s="298"/>
      <c r="AJ121" s="108">
        <f t="shared" si="119"/>
        <v>0</v>
      </c>
      <c r="AK121" s="108">
        <f t="shared" si="119"/>
        <v>836</v>
      </c>
      <c r="AL121" s="108">
        <f t="shared" si="119"/>
        <v>836</v>
      </c>
      <c r="AM121" s="108">
        <f t="shared" si="119"/>
        <v>0</v>
      </c>
      <c r="AN121" s="108">
        <f t="shared" si="119"/>
        <v>0</v>
      </c>
      <c r="AO121" s="108">
        <f t="shared" si="119"/>
        <v>0</v>
      </c>
      <c r="AP121" s="108">
        <f t="shared" si="119"/>
        <v>0</v>
      </c>
      <c r="AQ121" s="108">
        <f t="shared" si="119"/>
        <v>0</v>
      </c>
      <c r="AR121" s="108">
        <f t="shared" si="119"/>
        <v>0</v>
      </c>
      <c r="AX121" s="108">
        <f t="shared" si="63"/>
        <v>3</v>
      </c>
      <c r="AY121" s="108">
        <f t="shared" si="64"/>
        <v>2</v>
      </c>
      <c r="AZ121" s="108">
        <f t="shared" si="65"/>
        <v>2</v>
      </c>
      <c r="BA121" s="108">
        <f t="shared" si="66"/>
        <v>5</v>
      </c>
      <c r="BB121" s="108">
        <f t="shared" si="67"/>
        <v>4</v>
      </c>
      <c r="BC121" s="108">
        <f t="shared" si="68"/>
        <v>3</v>
      </c>
      <c r="BD121" s="108">
        <f t="shared" si="69"/>
        <v>4</v>
      </c>
      <c r="BE121" s="108">
        <f t="shared" si="70"/>
        <v>3</v>
      </c>
      <c r="BF121" s="108">
        <f t="shared" si="71"/>
        <v>3</v>
      </c>
      <c r="BG121" s="108">
        <f t="shared" si="72"/>
        <v>3</v>
      </c>
      <c r="BH121" s="108">
        <f t="shared" si="85"/>
        <v>57</v>
      </c>
      <c r="BJ121" s="108">
        <f t="shared" si="73"/>
        <v>5</v>
      </c>
      <c r="BK121" s="108">
        <f t="shared" si="74"/>
        <v>5</v>
      </c>
      <c r="BL121" s="108">
        <f t="shared" si="75"/>
        <v>5</v>
      </c>
      <c r="BM121" s="108">
        <f t="shared" si="76"/>
        <v>5</v>
      </c>
      <c r="BN121" s="108">
        <f t="shared" si="77"/>
        <v>5</v>
      </c>
      <c r="BO121" s="108">
        <f t="shared" si="78"/>
        <v>5</v>
      </c>
      <c r="BP121" s="108">
        <f t="shared" si="79"/>
        <v>5</v>
      </c>
      <c r="BQ121" s="108">
        <f t="shared" si="80"/>
        <v>5</v>
      </c>
      <c r="BR121" s="108">
        <f t="shared" si="81"/>
        <v>5</v>
      </c>
      <c r="BS121" s="108">
        <f t="shared" si="82"/>
        <v>5</v>
      </c>
      <c r="BT121" s="108">
        <f t="shared" si="86"/>
        <v>100</v>
      </c>
    </row>
    <row r="122" spans="1:72" ht="25" customHeight="1" x14ac:dyDescent="0.3">
      <c r="A122" s="185"/>
      <c r="B122" s="116" t="s">
        <v>1031</v>
      </c>
      <c r="C122" s="126" t="s">
        <v>860</v>
      </c>
      <c r="D122" s="124" t="s">
        <v>323</v>
      </c>
      <c r="E122" s="116" t="s">
        <v>462</v>
      </c>
      <c r="F122" s="111">
        <v>7.6917850999999997</v>
      </c>
      <c r="G122" s="111">
        <v>134.63382440000001</v>
      </c>
      <c r="H122" s="295" t="s">
        <v>327</v>
      </c>
      <c r="I122" s="334">
        <v>2014</v>
      </c>
      <c r="J122" s="112">
        <v>2019</v>
      </c>
      <c r="K122" s="295" t="s">
        <v>843</v>
      </c>
      <c r="L122" s="117">
        <v>156</v>
      </c>
      <c r="M122" s="118" t="s">
        <v>308</v>
      </c>
      <c r="N122" s="118" t="s">
        <v>298</v>
      </c>
      <c r="O122" s="118" t="s">
        <v>330</v>
      </c>
      <c r="P122" s="196" t="s">
        <v>322</v>
      </c>
      <c r="Q122" s="118" t="s">
        <v>309</v>
      </c>
      <c r="R122" s="154">
        <v>4</v>
      </c>
      <c r="S122" s="154">
        <v>4</v>
      </c>
      <c r="T122" s="154">
        <v>4</v>
      </c>
      <c r="U122" s="154">
        <v>3</v>
      </c>
      <c r="V122" s="154">
        <v>5</v>
      </c>
      <c r="W122" s="154">
        <v>5</v>
      </c>
      <c r="X122" s="154">
        <v>5</v>
      </c>
      <c r="Y122" s="154" t="s">
        <v>92</v>
      </c>
      <c r="Z122" s="154">
        <v>4</v>
      </c>
      <c r="AA122" s="154">
        <v>4</v>
      </c>
      <c r="AB122" s="296">
        <f t="shared" si="83"/>
        <v>82.10526315789474</v>
      </c>
      <c r="AC122" s="297">
        <f t="shared" si="118"/>
        <v>390000</v>
      </c>
      <c r="AD122" s="301">
        <f t="shared" si="84"/>
        <v>1950</v>
      </c>
      <c r="AE122" s="298"/>
      <c r="AJ122" s="108">
        <f t="shared" si="119"/>
        <v>0</v>
      </c>
      <c r="AK122" s="108">
        <f t="shared" si="119"/>
        <v>0</v>
      </c>
      <c r="AL122" s="108">
        <f t="shared" si="119"/>
        <v>0</v>
      </c>
      <c r="AM122" s="108">
        <f t="shared" si="119"/>
        <v>0</v>
      </c>
      <c r="AN122" s="108">
        <f t="shared" si="119"/>
        <v>0</v>
      </c>
      <c r="AO122" s="108">
        <f t="shared" si="119"/>
        <v>0</v>
      </c>
      <c r="AP122" s="108">
        <f t="shared" si="119"/>
        <v>0</v>
      </c>
      <c r="AQ122" s="108">
        <f t="shared" si="119"/>
        <v>0</v>
      </c>
      <c r="AR122" s="108">
        <f t="shared" si="119"/>
        <v>0</v>
      </c>
      <c r="AX122" s="108">
        <f t="shared" si="63"/>
        <v>4</v>
      </c>
      <c r="AY122" s="108">
        <f t="shared" si="64"/>
        <v>4</v>
      </c>
      <c r="AZ122" s="108">
        <f t="shared" si="65"/>
        <v>4</v>
      </c>
      <c r="BA122" s="108">
        <f t="shared" si="66"/>
        <v>3</v>
      </c>
      <c r="BB122" s="108">
        <f t="shared" si="67"/>
        <v>5</v>
      </c>
      <c r="BC122" s="108">
        <f t="shared" si="68"/>
        <v>5</v>
      </c>
      <c r="BD122" s="108">
        <f t="shared" si="69"/>
        <v>5</v>
      </c>
      <c r="BE122" s="108">
        <f t="shared" si="70"/>
        <v>0</v>
      </c>
      <c r="BF122" s="108">
        <f t="shared" si="71"/>
        <v>4</v>
      </c>
      <c r="BG122" s="108">
        <f t="shared" si="72"/>
        <v>4</v>
      </c>
      <c r="BH122" s="108">
        <f t="shared" si="85"/>
        <v>78</v>
      </c>
      <c r="BJ122" s="108">
        <f t="shared" si="73"/>
        <v>5</v>
      </c>
      <c r="BK122" s="108">
        <f t="shared" si="74"/>
        <v>5</v>
      </c>
      <c r="BL122" s="108">
        <f t="shared" si="75"/>
        <v>5</v>
      </c>
      <c r="BM122" s="108">
        <f t="shared" si="76"/>
        <v>5</v>
      </c>
      <c r="BN122" s="108">
        <f t="shared" si="77"/>
        <v>5</v>
      </c>
      <c r="BO122" s="108">
        <f t="shared" si="78"/>
        <v>5</v>
      </c>
      <c r="BP122" s="108">
        <f t="shared" si="79"/>
        <v>5</v>
      </c>
      <c r="BQ122" s="108">
        <f t="shared" si="80"/>
        <v>0</v>
      </c>
      <c r="BR122" s="108">
        <f t="shared" si="81"/>
        <v>5</v>
      </c>
      <c r="BS122" s="108">
        <f t="shared" si="82"/>
        <v>5</v>
      </c>
      <c r="BT122" s="108">
        <f t="shared" si="86"/>
        <v>95</v>
      </c>
    </row>
    <row r="123" spans="1:72" ht="24.5" customHeight="1" x14ac:dyDescent="0.3">
      <c r="A123" s="185"/>
      <c r="B123" s="335" t="s">
        <v>1032</v>
      </c>
      <c r="C123" s="126" t="s">
        <v>861</v>
      </c>
      <c r="D123" s="124" t="s">
        <v>323</v>
      </c>
      <c r="E123" s="116" t="s">
        <v>479</v>
      </c>
      <c r="F123" s="111">
        <v>7.6233268000000001</v>
      </c>
      <c r="G123" s="111">
        <v>134.64269039999999</v>
      </c>
      <c r="H123" s="295" t="s">
        <v>327</v>
      </c>
      <c r="I123" s="334" t="s">
        <v>859</v>
      </c>
      <c r="J123" s="112">
        <v>2019</v>
      </c>
      <c r="K123" s="295" t="s">
        <v>843</v>
      </c>
      <c r="L123" s="117">
        <v>753</v>
      </c>
      <c r="M123" s="118" t="s">
        <v>308</v>
      </c>
      <c r="N123" s="118" t="s">
        <v>298</v>
      </c>
      <c r="O123" s="118" t="s">
        <v>330</v>
      </c>
      <c r="P123" s="196" t="s">
        <v>322</v>
      </c>
      <c r="Q123" s="118" t="s">
        <v>309</v>
      </c>
      <c r="R123" s="154">
        <v>2</v>
      </c>
      <c r="S123" s="154">
        <v>2</v>
      </c>
      <c r="T123" s="154">
        <v>2</v>
      </c>
      <c r="U123" s="154">
        <v>5</v>
      </c>
      <c r="V123" s="154">
        <v>4</v>
      </c>
      <c r="W123" s="154">
        <v>3</v>
      </c>
      <c r="X123" s="154">
        <v>4</v>
      </c>
      <c r="Y123" s="154">
        <v>3</v>
      </c>
      <c r="Z123" s="154">
        <v>2</v>
      </c>
      <c r="AA123" s="154">
        <v>3</v>
      </c>
      <c r="AB123" s="296">
        <f t="shared" si="83"/>
        <v>53</v>
      </c>
      <c r="AC123" s="297">
        <f t="shared" si="118"/>
        <v>1882500</v>
      </c>
      <c r="AD123" s="301">
        <f t="shared" si="84"/>
        <v>9412.5</v>
      </c>
      <c r="AE123" s="298"/>
      <c r="AF123" s="336" t="s">
        <v>1968</v>
      </c>
      <c r="AX123" s="108">
        <f t="shared" si="63"/>
        <v>2</v>
      </c>
      <c r="AY123" s="108">
        <f t="shared" si="64"/>
        <v>2</v>
      </c>
      <c r="AZ123" s="108">
        <f t="shared" si="65"/>
        <v>2</v>
      </c>
      <c r="BA123" s="108">
        <f t="shared" si="66"/>
        <v>5</v>
      </c>
      <c r="BB123" s="108">
        <f t="shared" si="67"/>
        <v>4</v>
      </c>
      <c r="BC123" s="108">
        <f t="shared" si="68"/>
        <v>3</v>
      </c>
      <c r="BD123" s="108">
        <f t="shared" si="69"/>
        <v>4</v>
      </c>
      <c r="BE123" s="108">
        <f t="shared" si="70"/>
        <v>3</v>
      </c>
      <c r="BF123" s="108">
        <f t="shared" si="71"/>
        <v>2</v>
      </c>
      <c r="BG123" s="108">
        <f t="shared" si="72"/>
        <v>3</v>
      </c>
      <c r="BH123" s="108">
        <f t="shared" si="85"/>
        <v>53</v>
      </c>
      <c r="BJ123" s="108">
        <f t="shared" si="73"/>
        <v>5</v>
      </c>
      <c r="BK123" s="108">
        <f t="shared" si="74"/>
        <v>5</v>
      </c>
      <c r="BL123" s="108">
        <f t="shared" si="75"/>
        <v>5</v>
      </c>
      <c r="BM123" s="108">
        <f t="shared" si="76"/>
        <v>5</v>
      </c>
      <c r="BN123" s="108">
        <f t="shared" si="77"/>
        <v>5</v>
      </c>
      <c r="BO123" s="108">
        <f t="shared" si="78"/>
        <v>5</v>
      </c>
      <c r="BP123" s="108">
        <f t="shared" si="79"/>
        <v>5</v>
      </c>
      <c r="BQ123" s="108">
        <f t="shared" si="80"/>
        <v>5</v>
      </c>
      <c r="BR123" s="108">
        <f t="shared" si="81"/>
        <v>5</v>
      </c>
      <c r="BS123" s="108">
        <f t="shared" si="82"/>
        <v>5</v>
      </c>
      <c r="BT123" s="108">
        <f t="shared" si="86"/>
        <v>100</v>
      </c>
    </row>
    <row r="124" spans="1:72" ht="24.5" customHeight="1" x14ac:dyDescent="0.3">
      <c r="A124" s="185"/>
      <c r="B124" s="335" t="s">
        <v>1033</v>
      </c>
      <c r="C124" s="126" t="s">
        <v>862</v>
      </c>
      <c r="D124" s="124" t="s">
        <v>323</v>
      </c>
      <c r="E124" s="116" t="s">
        <v>479</v>
      </c>
      <c r="F124" s="111">
        <v>7.6228336665200001</v>
      </c>
      <c r="G124" s="111">
        <v>134.64194718799999</v>
      </c>
      <c r="H124" s="295" t="s">
        <v>327</v>
      </c>
      <c r="I124" s="334" t="s">
        <v>859</v>
      </c>
      <c r="J124" s="112">
        <v>2019</v>
      </c>
      <c r="K124" s="295" t="s">
        <v>843</v>
      </c>
      <c r="L124" s="117">
        <v>167</v>
      </c>
      <c r="M124" s="118" t="s">
        <v>308</v>
      </c>
      <c r="N124" s="118" t="s">
        <v>298</v>
      </c>
      <c r="O124" s="118" t="s">
        <v>330</v>
      </c>
      <c r="P124" s="196" t="s">
        <v>322</v>
      </c>
      <c r="Q124" s="118" t="s">
        <v>309</v>
      </c>
      <c r="R124" s="154">
        <v>4</v>
      </c>
      <c r="S124" s="154">
        <v>2</v>
      </c>
      <c r="T124" s="154">
        <v>3</v>
      </c>
      <c r="U124" s="154">
        <v>2</v>
      </c>
      <c r="V124" s="154">
        <v>4</v>
      </c>
      <c r="W124" s="154">
        <v>3</v>
      </c>
      <c r="X124" s="154">
        <v>2</v>
      </c>
      <c r="Y124" s="154" t="s">
        <v>92</v>
      </c>
      <c r="Z124" s="154">
        <v>3</v>
      </c>
      <c r="AA124" s="154">
        <v>3</v>
      </c>
      <c r="AB124" s="296">
        <f t="shared" si="83"/>
        <v>56.84210526315789</v>
      </c>
      <c r="AC124" s="297">
        <f t="shared" si="118"/>
        <v>417500</v>
      </c>
      <c r="AD124" s="301">
        <f t="shared" si="84"/>
        <v>2087.5</v>
      </c>
      <c r="AE124" s="298"/>
      <c r="AF124" s="336" t="s">
        <v>1968</v>
      </c>
      <c r="AX124" s="108">
        <f t="shared" si="63"/>
        <v>4</v>
      </c>
      <c r="AY124" s="108">
        <f t="shared" si="64"/>
        <v>2</v>
      </c>
      <c r="AZ124" s="108">
        <f t="shared" si="65"/>
        <v>3</v>
      </c>
      <c r="BA124" s="108">
        <f t="shared" si="66"/>
        <v>2</v>
      </c>
      <c r="BB124" s="108">
        <f t="shared" si="67"/>
        <v>4</v>
      </c>
      <c r="BC124" s="108">
        <f t="shared" si="68"/>
        <v>3</v>
      </c>
      <c r="BD124" s="108">
        <f t="shared" si="69"/>
        <v>2</v>
      </c>
      <c r="BE124" s="108">
        <f t="shared" si="70"/>
        <v>0</v>
      </c>
      <c r="BF124" s="108">
        <f t="shared" si="71"/>
        <v>3</v>
      </c>
      <c r="BG124" s="108">
        <f t="shared" si="72"/>
        <v>3</v>
      </c>
      <c r="BH124" s="108">
        <f t="shared" si="85"/>
        <v>54</v>
      </c>
      <c r="BJ124" s="108">
        <f t="shared" si="73"/>
        <v>5</v>
      </c>
      <c r="BK124" s="108">
        <f t="shared" si="74"/>
        <v>5</v>
      </c>
      <c r="BL124" s="108">
        <f t="shared" si="75"/>
        <v>5</v>
      </c>
      <c r="BM124" s="108">
        <f t="shared" si="76"/>
        <v>5</v>
      </c>
      <c r="BN124" s="108">
        <f t="shared" si="77"/>
        <v>5</v>
      </c>
      <c r="BO124" s="108">
        <f t="shared" si="78"/>
        <v>5</v>
      </c>
      <c r="BP124" s="108">
        <f t="shared" si="79"/>
        <v>5</v>
      </c>
      <c r="BQ124" s="108">
        <f t="shared" si="80"/>
        <v>0</v>
      </c>
      <c r="BR124" s="108">
        <f t="shared" si="81"/>
        <v>5</v>
      </c>
      <c r="BS124" s="108">
        <f t="shared" si="82"/>
        <v>5</v>
      </c>
      <c r="BT124" s="108">
        <f t="shared" si="86"/>
        <v>95</v>
      </c>
    </row>
    <row r="125" spans="1:72" ht="25" customHeight="1" x14ac:dyDescent="0.3">
      <c r="A125" s="185"/>
      <c r="B125" s="335" t="s">
        <v>1034</v>
      </c>
      <c r="C125" s="126" t="s">
        <v>863</v>
      </c>
      <c r="D125" s="124" t="s">
        <v>323</v>
      </c>
      <c r="E125" s="116" t="s">
        <v>441</v>
      </c>
      <c r="F125" s="111">
        <v>7.6091687636699996</v>
      </c>
      <c r="G125" s="111">
        <v>134.574069119</v>
      </c>
      <c r="H125" s="295" t="s">
        <v>327</v>
      </c>
      <c r="I125" s="112" t="s">
        <v>380</v>
      </c>
      <c r="J125" s="112">
        <v>2019</v>
      </c>
      <c r="K125" s="295" t="s">
        <v>843</v>
      </c>
      <c r="L125" s="117">
        <v>279</v>
      </c>
      <c r="M125" s="118" t="s">
        <v>308</v>
      </c>
      <c r="N125" s="118" t="s">
        <v>298</v>
      </c>
      <c r="O125" s="118" t="s">
        <v>330</v>
      </c>
      <c r="P125" s="196" t="s">
        <v>322</v>
      </c>
      <c r="Q125" s="118" t="s">
        <v>309</v>
      </c>
      <c r="R125" s="154">
        <v>3</v>
      </c>
      <c r="S125" s="154">
        <v>3</v>
      </c>
      <c r="T125" s="154">
        <v>3</v>
      </c>
      <c r="U125" s="154">
        <v>2</v>
      </c>
      <c r="V125" s="154">
        <v>4</v>
      </c>
      <c r="W125" s="154">
        <v>4</v>
      </c>
      <c r="X125" s="154" t="s">
        <v>92</v>
      </c>
      <c r="Y125" s="154" t="s">
        <v>92</v>
      </c>
      <c r="Z125" s="154">
        <v>4</v>
      </c>
      <c r="AA125" s="154">
        <v>4</v>
      </c>
      <c r="AB125" s="296">
        <f t="shared" si="83"/>
        <v>66.666666666666657</v>
      </c>
      <c r="AC125" s="297">
        <f t="shared" si="118"/>
        <v>697500</v>
      </c>
      <c r="AD125" s="301">
        <f t="shared" si="84"/>
        <v>3487.5</v>
      </c>
      <c r="AE125" s="298"/>
      <c r="AF125" s="336" t="s">
        <v>1968</v>
      </c>
      <c r="AX125" s="108">
        <f t="shared" si="63"/>
        <v>3</v>
      </c>
      <c r="AY125" s="108">
        <f t="shared" si="64"/>
        <v>3</v>
      </c>
      <c r="AZ125" s="108">
        <f t="shared" si="65"/>
        <v>3</v>
      </c>
      <c r="BA125" s="108">
        <f t="shared" si="66"/>
        <v>2</v>
      </c>
      <c r="BB125" s="108">
        <f t="shared" si="67"/>
        <v>4</v>
      </c>
      <c r="BC125" s="108">
        <f t="shared" si="68"/>
        <v>4</v>
      </c>
      <c r="BD125" s="108">
        <f t="shared" si="69"/>
        <v>0</v>
      </c>
      <c r="BE125" s="108">
        <f t="shared" si="70"/>
        <v>0</v>
      </c>
      <c r="BF125" s="108">
        <f t="shared" si="71"/>
        <v>4</v>
      </c>
      <c r="BG125" s="108">
        <f t="shared" si="72"/>
        <v>4</v>
      </c>
      <c r="BH125" s="108">
        <f t="shared" si="85"/>
        <v>60</v>
      </c>
      <c r="BJ125" s="108">
        <f t="shared" si="73"/>
        <v>5</v>
      </c>
      <c r="BK125" s="108">
        <f t="shared" si="74"/>
        <v>5</v>
      </c>
      <c r="BL125" s="108">
        <f t="shared" si="75"/>
        <v>5</v>
      </c>
      <c r="BM125" s="108">
        <f t="shared" si="76"/>
        <v>5</v>
      </c>
      <c r="BN125" s="108">
        <f t="shared" si="77"/>
        <v>5</v>
      </c>
      <c r="BO125" s="108">
        <f t="shared" si="78"/>
        <v>5</v>
      </c>
      <c r="BP125" s="108">
        <f t="shared" si="79"/>
        <v>0</v>
      </c>
      <c r="BQ125" s="108">
        <f t="shared" si="80"/>
        <v>0</v>
      </c>
      <c r="BR125" s="108">
        <f t="shared" si="81"/>
        <v>5</v>
      </c>
      <c r="BS125" s="108">
        <f t="shared" si="82"/>
        <v>5</v>
      </c>
      <c r="BT125" s="108">
        <f t="shared" si="86"/>
        <v>90</v>
      </c>
    </row>
    <row r="126" spans="1:72" ht="25" customHeight="1" x14ac:dyDescent="0.3">
      <c r="A126" s="185"/>
      <c r="B126" s="335" t="s">
        <v>1035</v>
      </c>
      <c r="C126" s="126" t="s">
        <v>864</v>
      </c>
      <c r="D126" s="124" t="s">
        <v>323</v>
      </c>
      <c r="E126" s="116" t="s">
        <v>441</v>
      </c>
      <c r="F126" s="111">
        <v>7.6091687636699996</v>
      </c>
      <c r="G126" s="111">
        <v>134.574069119</v>
      </c>
      <c r="H126" s="295" t="s">
        <v>327</v>
      </c>
      <c r="I126" s="112" t="s">
        <v>380</v>
      </c>
      <c r="J126" s="112">
        <v>2019</v>
      </c>
      <c r="K126" s="295" t="s">
        <v>843</v>
      </c>
      <c r="L126" s="117">
        <v>72</v>
      </c>
      <c r="M126" s="118" t="s">
        <v>308</v>
      </c>
      <c r="N126" s="118" t="s">
        <v>298</v>
      </c>
      <c r="O126" s="118" t="s">
        <v>330</v>
      </c>
      <c r="P126" s="196" t="s">
        <v>322</v>
      </c>
      <c r="Q126" s="118" t="s">
        <v>309</v>
      </c>
      <c r="R126" s="154">
        <v>3</v>
      </c>
      <c r="S126" s="154">
        <v>3</v>
      </c>
      <c r="T126" s="154">
        <v>3</v>
      </c>
      <c r="U126" s="154">
        <v>2</v>
      </c>
      <c r="V126" s="154">
        <v>4</v>
      </c>
      <c r="W126" s="154">
        <v>3</v>
      </c>
      <c r="X126" s="154">
        <v>2</v>
      </c>
      <c r="Y126" s="154" t="s">
        <v>92</v>
      </c>
      <c r="Z126" s="154">
        <v>3</v>
      </c>
      <c r="AA126" s="154">
        <v>3</v>
      </c>
      <c r="AB126" s="296">
        <f t="shared" si="83"/>
        <v>58.947368421052623</v>
      </c>
      <c r="AC126" s="297">
        <f t="shared" si="118"/>
        <v>180000</v>
      </c>
      <c r="AD126" s="301">
        <f t="shared" si="84"/>
        <v>900</v>
      </c>
      <c r="AE126" s="298"/>
      <c r="AF126" s="336" t="s">
        <v>1968</v>
      </c>
      <c r="AX126" s="108">
        <f t="shared" si="63"/>
        <v>3</v>
      </c>
      <c r="AY126" s="108">
        <f t="shared" si="64"/>
        <v>3</v>
      </c>
      <c r="AZ126" s="108">
        <f t="shared" si="65"/>
        <v>3</v>
      </c>
      <c r="BA126" s="108">
        <f t="shared" si="66"/>
        <v>2</v>
      </c>
      <c r="BB126" s="108">
        <f t="shared" si="67"/>
        <v>4</v>
      </c>
      <c r="BC126" s="108">
        <f t="shared" si="68"/>
        <v>3</v>
      </c>
      <c r="BD126" s="108">
        <f t="shared" si="69"/>
        <v>2</v>
      </c>
      <c r="BE126" s="108">
        <f t="shared" si="70"/>
        <v>0</v>
      </c>
      <c r="BF126" s="108">
        <f t="shared" si="71"/>
        <v>3</v>
      </c>
      <c r="BG126" s="108">
        <f t="shared" si="72"/>
        <v>3</v>
      </c>
      <c r="BH126" s="108">
        <f t="shared" si="85"/>
        <v>56</v>
      </c>
      <c r="BJ126" s="108">
        <f t="shared" si="73"/>
        <v>5</v>
      </c>
      <c r="BK126" s="108">
        <f t="shared" si="74"/>
        <v>5</v>
      </c>
      <c r="BL126" s="108">
        <f t="shared" si="75"/>
        <v>5</v>
      </c>
      <c r="BM126" s="108">
        <f t="shared" si="76"/>
        <v>5</v>
      </c>
      <c r="BN126" s="108">
        <f t="shared" si="77"/>
        <v>5</v>
      </c>
      <c r="BO126" s="108">
        <f t="shared" si="78"/>
        <v>5</v>
      </c>
      <c r="BP126" s="108">
        <f t="shared" si="79"/>
        <v>5</v>
      </c>
      <c r="BQ126" s="108">
        <f t="shared" si="80"/>
        <v>0</v>
      </c>
      <c r="BR126" s="108">
        <f t="shared" si="81"/>
        <v>5</v>
      </c>
      <c r="BS126" s="108">
        <f t="shared" si="82"/>
        <v>5</v>
      </c>
      <c r="BT126" s="108">
        <f t="shared" si="86"/>
        <v>95</v>
      </c>
    </row>
    <row r="127" spans="1:72" ht="25" customHeight="1" x14ac:dyDescent="0.3">
      <c r="A127" s="185"/>
      <c r="B127" s="335" t="s">
        <v>1036</v>
      </c>
      <c r="C127" s="126" t="s">
        <v>865</v>
      </c>
      <c r="D127" s="124" t="s">
        <v>323</v>
      </c>
      <c r="E127" s="116" t="s">
        <v>441</v>
      </c>
      <c r="F127" s="111">
        <v>7.6091687636699996</v>
      </c>
      <c r="G127" s="111">
        <v>134.574069119</v>
      </c>
      <c r="H127" s="295" t="s">
        <v>327</v>
      </c>
      <c r="I127" s="112" t="s">
        <v>380</v>
      </c>
      <c r="J127" s="112">
        <v>2019</v>
      </c>
      <c r="K127" s="295" t="s">
        <v>843</v>
      </c>
      <c r="L127" s="117">
        <v>98</v>
      </c>
      <c r="M127" s="118" t="s">
        <v>308</v>
      </c>
      <c r="N127" s="118" t="s">
        <v>298</v>
      </c>
      <c r="O127" s="118" t="s">
        <v>330</v>
      </c>
      <c r="P127" s="196" t="s">
        <v>322</v>
      </c>
      <c r="Q127" s="118" t="s">
        <v>309</v>
      </c>
      <c r="R127" s="154">
        <v>3</v>
      </c>
      <c r="S127" s="154">
        <v>3</v>
      </c>
      <c r="T127" s="154">
        <v>3</v>
      </c>
      <c r="U127" s="154">
        <v>2</v>
      </c>
      <c r="V127" s="154">
        <v>4</v>
      </c>
      <c r="W127" s="154">
        <v>3</v>
      </c>
      <c r="X127" s="154" t="s">
        <v>92</v>
      </c>
      <c r="Y127" s="154">
        <v>3</v>
      </c>
      <c r="Z127" s="154">
        <v>3</v>
      </c>
      <c r="AA127" s="154">
        <v>3</v>
      </c>
      <c r="AB127" s="296">
        <f t="shared" si="83"/>
        <v>60</v>
      </c>
      <c r="AC127" s="297">
        <f t="shared" si="118"/>
        <v>245000</v>
      </c>
      <c r="AD127" s="301">
        <f t="shared" si="84"/>
        <v>1225</v>
      </c>
      <c r="AE127" s="298"/>
      <c r="AF127" s="336" t="s">
        <v>1968</v>
      </c>
      <c r="AX127" s="108">
        <f t="shared" si="63"/>
        <v>3</v>
      </c>
      <c r="AY127" s="108">
        <f t="shared" si="64"/>
        <v>3</v>
      </c>
      <c r="AZ127" s="108">
        <f t="shared" si="65"/>
        <v>3</v>
      </c>
      <c r="BA127" s="108">
        <f t="shared" si="66"/>
        <v>2</v>
      </c>
      <c r="BB127" s="108">
        <f t="shared" si="67"/>
        <v>4</v>
      </c>
      <c r="BC127" s="108">
        <f t="shared" si="68"/>
        <v>3</v>
      </c>
      <c r="BD127" s="108">
        <f t="shared" si="69"/>
        <v>0</v>
      </c>
      <c r="BE127" s="108">
        <f t="shared" si="70"/>
        <v>3</v>
      </c>
      <c r="BF127" s="108">
        <f t="shared" si="71"/>
        <v>3</v>
      </c>
      <c r="BG127" s="108">
        <f t="shared" si="72"/>
        <v>3</v>
      </c>
      <c r="BH127" s="108">
        <f t="shared" si="85"/>
        <v>57</v>
      </c>
      <c r="BJ127" s="108">
        <f t="shared" si="73"/>
        <v>5</v>
      </c>
      <c r="BK127" s="108">
        <f t="shared" si="74"/>
        <v>5</v>
      </c>
      <c r="BL127" s="108">
        <f t="shared" si="75"/>
        <v>5</v>
      </c>
      <c r="BM127" s="108">
        <f t="shared" si="76"/>
        <v>5</v>
      </c>
      <c r="BN127" s="108">
        <f t="shared" si="77"/>
        <v>5</v>
      </c>
      <c r="BO127" s="108">
        <f t="shared" si="78"/>
        <v>5</v>
      </c>
      <c r="BP127" s="108">
        <f t="shared" si="79"/>
        <v>0</v>
      </c>
      <c r="BQ127" s="108">
        <f t="shared" si="80"/>
        <v>5</v>
      </c>
      <c r="BR127" s="108">
        <f t="shared" si="81"/>
        <v>5</v>
      </c>
      <c r="BS127" s="108">
        <f t="shared" si="82"/>
        <v>5</v>
      </c>
      <c r="BT127" s="108">
        <f t="shared" si="86"/>
        <v>95</v>
      </c>
    </row>
    <row r="128" spans="1:72" ht="25" customHeight="1" x14ac:dyDescent="0.3">
      <c r="A128" s="185"/>
      <c r="B128" s="335" t="s">
        <v>1037</v>
      </c>
      <c r="C128" s="126" t="s">
        <v>866</v>
      </c>
      <c r="D128" s="124" t="s">
        <v>323</v>
      </c>
      <c r="E128" s="116" t="s">
        <v>576</v>
      </c>
      <c r="F128" s="111">
        <v>7.50086178953</v>
      </c>
      <c r="G128" s="111">
        <v>134.633805771</v>
      </c>
      <c r="H128" s="295" t="s">
        <v>327</v>
      </c>
      <c r="I128" s="112" t="s">
        <v>380</v>
      </c>
      <c r="J128" s="112">
        <v>2019</v>
      </c>
      <c r="K128" s="295" t="s">
        <v>843</v>
      </c>
      <c r="L128" s="117">
        <v>593</v>
      </c>
      <c r="M128" s="118" t="s">
        <v>308</v>
      </c>
      <c r="N128" s="118" t="s">
        <v>298</v>
      </c>
      <c r="O128" s="118" t="s">
        <v>330</v>
      </c>
      <c r="P128" s="196" t="s">
        <v>322</v>
      </c>
      <c r="Q128" s="118" t="s">
        <v>309</v>
      </c>
      <c r="R128" s="154">
        <v>3</v>
      </c>
      <c r="S128" s="154">
        <v>4</v>
      </c>
      <c r="T128" s="154">
        <v>4</v>
      </c>
      <c r="U128" s="154">
        <v>5</v>
      </c>
      <c r="V128" s="154">
        <v>5</v>
      </c>
      <c r="W128" s="154">
        <v>3</v>
      </c>
      <c r="X128" s="154">
        <v>3</v>
      </c>
      <c r="Y128" s="154">
        <v>3</v>
      </c>
      <c r="Z128" s="154">
        <v>2</v>
      </c>
      <c r="AA128" s="154">
        <v>3</v>
      </c>
      <c r="AB128" s="296">
        <f t="shared" si="83"/>
        <v>70</v>
      </c>
      <c r="AC128" s="297">
        <f t="shared" si="118"/>
        <v>1482500</v>
      </c>
      <c r="AD128" s="301">
        <f t="shared" si="84"/>
        <v>7412.5</v>
      </c>
      <c r="AE128" s="298"/>
      <c r="AF128" s="336" t="s">
        <v>1968</v>
      </c>
      <c r="AX128" s="108">
        <f t="shared" si="63"/>
        <v>3</v>
      </c>
      <c r="AY128" s="108">
        <f t="shared" si="64"/>
        <v>4</v>
      </c>
      <c r="AZ128" s="108">
        <f t="shared" si="65"/>
        <v>4</v>
      </c>
      <c r="BA128" s="108">
        <f t="shared" si="66"/>
        <v>5</v>
      </c>
      <c r="BB128" s="108">
        <f t="shared" si="67"/>
        <v>5</v>
      </c>
      <c r="BC128" s="108">
        <f t="shared" si="68"/>
        <v>3</v>
      </c>
      <c r="BD128" s="108">
        <f t="shared" si="69"/>
        <v>3</v>
      </c>
      <c r="BE128" s="108">
        <f t="shared" si="70"/>
        <v>3</v>
      </c>
      <c r="BF128" s="108">
        <f t="shared" si="71"/>
        <v>2</v>
      </c>
      <c r="BG128" s="108">
        <f t="shared" si="72"/>
        <v>3</v>
      </c>
      <c r="BH128" s="108">
        <f t="shared" si="85"/>
        <v>70</v>
      </c>
      <c r="BJ128" s="108">
        <f t="shared" si="73"/>
        <v>5</v>
      </c>
      <c r="BK128" s="108">
        <f t="shared" si="74"/>
        <v>5</v>
      </c>
      <c r="BL128" s="108">
        <f t="shared" si="75"/>
        <v>5</v>
      </c>
      <c r="BM128" s="108">
        <f t="shared" si="76"/>
        <v>5</v>
      </c>
      <c r="BN128" s="108">
        <f t="shared" si="77"/>
        <v>5</v>
      </c>
      <c r="BO128" s="108">
        <f t="shared" si="78"/>
        <v>5</v>
      </c>
      <c r="BP128" s="108">
        <f t="shared" si="79"/>
        <v>5</v>
      </c>
      <c r="BQ128" s="108">
        <f t="shared" si="80"/>
        <v>5</v>
      </c>
      <c r="BR128" s="108">
        <f t="shared" si="81"/>
        <v>5</v>
      </c>
      <c r="BS128" s="108">
        <f t="shared" si="82"/>
        <v>5</v>
      </c>
      <c r="BT128" s="108">
        <f t="shared" si="86"/>
        <v>100</v>
      </c>
    </row>
    <row r="129" spans="1:72" ht="25" customHeight="1" x14ac:dyDescent="0.3">
      <c r="A129" s="185"/>
      <c r="B129" s="335" t="s">
        <v>1038</v>
      </c>
      <c r="C129" s="126" t="s">
        <v>867</v>
      </c>
      <c r="D129" s="124" t="s">
        <v>323</v>
      </c>
      <c r="E129" s="116" t="s">
        <v>576</v>
      </c>
      <c r="F129" s="111">
        <v>7.50086178953</v>
      </c>
      <c r="G129" s="111">
        <v>134.633805771</v>
      </c>
      <c r="H129" s="295" t="s">
        <v>327</v>
      </c>
      <c r="I129" s="112" t="s">
        <v>380</v>
      </c>
      <c r="J129" s="112">
        <v>2019</v>
      </c>
      <c r="K129" s="295" t="s">
        <v>843</v>
      </c>
      <c r="L129" s="117">
        <v>178</v>
      </c>
      <c r="M129" s="118" t="s">
        <v>308</v>
      </c>
      <c r="N129" s="118" t="s">
        <v>298</v>
      </c>
      <c r="O129" s="118" t="s">
        <v>330</v>
      </c>
      <c r="P129" s="196" t="s">
        <v>322</v>
      </c>
      <c r="Q129" s="118" t="s">
        <v>309</v>
      </c>
      <c r="R129" s="154">
        <v>3</v>
      </c>
      <c r="S129" s="154">
        <v>3</v>
      </c>
      <c r="T129" s="154">
        <v>3</v>
      </c>
      <c r="U129" s="154">
        <v>2</v>
      </c>
      <c r="V129" s="154">
        <v>3</v>
      </c>
      <c r="W129" s="154">
        <v>2</v>
      </c>
      <c r="X129" s="154">
        <v>3</v>
      </c>
      <c r="Y129" s="154" t="s">
        <v>92</v>
      </c>
      <c r="Z129" s="154">
        <v>2</v>
      </c>
      <c r="AA129" s="154">
        <v>3</v>
      </c>
      <c r="AB129" s="296">
        <f t="shared" si="83"/>
        <v>56.84210526315789</v>
      </c>
      <c r="AC129" s="297">
        <f t="shared" si="118"/>
        <v>445000</v>
      </c>
      <c r="AD129" s="301">
        <f t="shared" si="84"/>
        <v>2225</v>
      </c>
      <c r="AE129" s="298"/>
      <c r="AF129" s="336" t="s">
        <v>1968</v>
      </c>
      <c r="AX129" s="108">
        <f t="shared" si="63"/>
        <v>3</v>
      </c>
      <c r="AY129" s="108">
        <f t="shared" si="64"/>
        <v>3</v>
      </c>
      <c r="AZ129" s="108">
        <f t="shared" si="65"/>
        <v>3</v>
      </c>
      <c r="BA129" s="108">
        <f t="shared" si="66"/>
        <v>2</v>
      </c>
      <c r="BB129" s="108">
        <f t="shared" si="67"/>
        <v>3</v>
      </c>
      <c r="BC129" s="108">
        <f t="shared" si="68"/>
        <v>2</v>
      </c>
      <c r="BD129" s="108">
        <f t="shared" si="69"/>
        <v>3</v>
      </c>
      <c r="BE129" s="108">
        <f t="shared" si="70"/>
        <v>0</v>
      </c>
      <c r="BF129" s="108">
        <f t="shared" si="71"/>
        <v>2</v>
      </c>
      <c r="BG129" s="108">
        <f t="shared" si="72"/>
        <v>3</v>
      </c>
      <c r="BH129" s="108">
        <f t="shared" si="85"/>
        <v>54</v>
      </c>
      <c r="BJ129" s="108">
        <f t="shared" si="73"/>
        <v>5</v>
      </c>
      <c r="BK129" s="108">
        <f t="shared" si="74"/>
        <v>5</v>
      </c>
      <c r="BL129" s="108">
        <f t="shared" si="75"/>
        <v>5</v>
      </c>
      <c r="BM129" s="108">
        <f t="shared" si="76"/>
        <v>5</v>
      </c>
      <c r="BN129" s="108">
        <f t="shared" si="77"/>
        <v>5</v>
      </c>
      <c r="BO129" s="108">
        <f t="shared" si="78"/>
        <v>5</v>
      </c>
      <c r="BP129" s="108">
        <f t="shared" si="79"/>
        <v>5</v>
      </c>
      <c r="BQ129" s="108">
        <f t="shared" si="80"/>
        <v>0</v>
      </c>
      <c r="BR129" s="108">
        <f t="shared" si="81"/>
        <v>5</v>
      </c>
      <c r="BS129" s="108">
        <f t="shared" si="82"/>
        <v>5</v>
      </c>
      <c r="BT129" s="108">
        <f t="shared" si="86"/>
        <v>95</v>
      </c>
    </row>
    <row r="130" spans="1:72" ht="25" customHeight="1" x14ac:dyDescent="0.3">
      <c r="A130" s="185"/>
      <c r="B130" s="335" t="s">
        <v>1039</v>
      </c>
      <c r="C130" s="126" t="s">
        <v>868</v>
      </c>
      <c r="D130" s="124" t="s">
        <v>323</v>
      </c>
      <c r="E130" s="116" t="s">
        <v>273</v>
      </c>
      <c r="F130" s="111">
        <v>7.5221750528499998</v>
      </c>
      <c r="G130" s="111">
        <v>134.52180344300001</v>
      </c>
      <c r="H130" s="295" t="s">
        <v>327</v>
      </c>
      <c r="I130" s="112" t="s">
        <v>502</v>
      </c>
      <c r="J130" s="112" t="s">
        <v>848</v>
      </c>
      <c r="K130" s="295" t="s">
        <v>848</v>
      </c>
      <c r="L130" s="117">
        <v>920</v>
      </c>
      <c r="M130" s="118" t="s">
        <v>308</v>
      </c>
      <c r="N130" s="118" t="s">
        <v>298</v>
      </c>
      <c r="O130" s="118" t="s">
        <v>330</v>
      </c>
      <c r="P130" s="196" t="s">
        <v>322</v>
      </c>
      <c r="Q130" s="118" t="s">
        <v>309</v>
      </c>
      <c r="R130" s="154">
        <v>4</v>
      </c>
      <c r="S130" s="154">
        <v>4</v>
      </c>
      <c r="T130" s="154">
        <v>4</v>
      </c>
      <c r="U130" s="154">
        <v>5</v>
      </c>
      <c r="V130" s="154">
        <v>5</v>
      </c>
      <c r="W130" s="154">
        <v>4</v>
      </c>
      <c r="X130" s="154">
        <v>5</v>
      </c>
      <c r="Y130" s="154">
        <v>4</v>
      </c>
      <c r="Z130" s="154">
        <v>4</v>
      </c>
      <c r="AA130" s="154">
        <v>4</v>
      </c>
      <c r="AB130" s="296">
        <f t="shared" si="83"/>
        <v>83</v>
      </c>
      <c r="AC130" s="297">
        <f t="shared" si="118"/>
        <v>2300000</v>
      </c>
      <c r="AD130" s="301">
        <f t="shared" si="84"/>
        <v>11500</v>
      </c>
      <c r="AE130" s="298"/>
      <c r="AF130" s="336" t="s">
        <v>1968</v>
      </c>
      <c r="AX130" s="108">
        <f t="shared" si="63"/>
        <v>4</v>
      </c>
      <c r="AY130" s="108">
        <f t="shared" si="64"/>
        <v>4</v>
      </c>
      <c r="AZ130" s="108">
        <f t="shared" si="65"/>
        <v>4</v>
      </c>
      <c r="BA130" s="108">
        <f t="shared" si="66"/>
        <v>5</v>
      </c>
      <c r="BB130" s="108">
        <f t="shared" si="67"/>
        <v>5</v>
      </c>
      <c r="BC130" s="108">
        <f t="shared" si="68"/>
        <v>4</v>
      </c>
      <c r="BD130" s="108">
        <f t="shared" si="69"/>
        <v>5</v>
      </c>
      <c r="BE130" s="108">
        <f t="shared" si="70"/>
        <v>4</v>
      </c>
      <c r="BF130" s="108">
        <f t="shared" si="71"/>
        <v>4</v>
      </c>
      <c r="BG130" s="108">
        <f t="shared" si="72"/>
        <v>4</v>
      </c>
      <c r="BH130" s="108">
        <f t="shared" si="85"/>
        <v>83</v>
      </c>
      <c r="BJ130" s="108">
        <f t="shared" si="73"/>
        <v>5</v>
      </c>
      <c r="BK130" s="108">
        <f t="shared" si="74"/>
        <v>5</v>
      </c>
      <c r="BL130" s="108">
        <f t="shared" si="75"/>
        <v>5</v>
      </c>
      <c r="BM130" s="108">
        <f t="shared" si="76"/>
        <v>5</v>
      </c>
      <c r="BN130" s="108">
        <f t="shared" si="77"/>
        <v>5</v>
      </c>
      <c r="BO130" s="108">
        <f t="shared" si="78"/>
        <v>5</v>
      </c>
      <c r="BP130" s="108">
        <f t="shared" si="79"/>
        <v>5</v>
      </c>
      <c r="BQ130" s="108">
        <f t="shared" si="80"/>
        <v>5</v>
      </c>
      <c r="BR130" s="108">
        <f t="shared" si="81"/>
        <v>5</v>
      </c>
      <c r="BS130" s="108">
        <f t="shared" si="82"/>
        <v>5</v>
      </c>
      <c r="BT130" s="108">
        <f t="shared" si="86"/>
        <v>100</v>
      </c>
    </row>
    <row r="131" spans="1:72" ht="25" customHeight="1" x14ac:dyDescent="0.3">
      <c r="A131" s="185"/>
      <c r="B131" s="335" t="s">
        <v>1040</v>
      </c>
      <c r="C131" s="126" t="s">
        <v>869</v>
      </c>
      <c r="D131" s="124" t="s">
        <v>323</v>
      </c>
      <c r="E131" s="116" t="s">
        <v>273</v>
      </c>
      <c r="F131" s="111">
        <v>7.5221750528499998</v>
      </c>
      <c r="G131" s="111">
        <v>134.52180344300001</v>
      </c>
      <c r="H131" s="295" t="s">
        <v>327</v>
      </c>
      <c r="I131" s="112" t="s">
        <v>502</v>
      </c>
      <c r="J131" s="112" t="s">
        <v>848</v>
      </c>
      <c r="K131" s="295" t="s">
        <v>848</v>
      </c>
      <c r="L131" s="117">
        <v>199</v>
      </c>
      <c r="M131" s="118" t="s">
        <v>308</v>
      </c>
      <c r="N131" s="118" t="s">
        <v>298</v>
      </c>
      <c r="O131" s="118" t="s">
        <v>330</v>
      </c>
      <c r="P131" s="196" t="s">
        <v>322</v>
      </c>
      <c r="Q131" s="118" t="s">
        <v>309</v>
      </c>
      <c r="R131" s="154">
        <v>2</v>
      </c>
      <c r="S131" s="154">
        <v>2</v>
      </c>
      <c r="T131" s="154">
        <v>3</v>
      </c>
      <c r="U131" s="154">
        <v>2</v>
      </c>
      <c r="V131" s="154">
        <v>3</v>
      </c>
      <c r="W131" s="154">
        <v>3</v>
      </c>
      <c r="X131" s="154">
        <v>3</v>
      </c>
      <c r="Y131" s="154">
        <v>2</v>
      </c>
      <c r="Z131" s="154">
        <v>2</v>
      </c>
      <c r="AA131" s="154">
        <v>3</v>
      </c>
      <c r="AB131" s="296">
        <f t="shared" si="83"/>
        <v>49</v>
      </c>
      <c r="AC131" s="297">
        <f t="shared" si="118"/>
        <v>497500</v>
      </c>
      <c r="AD131" s="301">
        <f t="shared" si="84"/>
        <v>2487.5</v>
      </c>
      <c r="AE131" s="298"/>
      <c r="AF131" s="336" t="s">
        <v>1968</v>
      </c>
      <c r="AX131" s="108">
        <f t="shared" si="63"/>
        <v>2</v>
      </c>
      <c r="AY131" s="108">
        <f t="shared" si="64"/>
        <v>2</v>
      </c>
      <c r="AZ131" s="108">
        <f t="shared" si="65"/>
        <v>3</v>
      </c>
      <c r="BA131" s="108">
        <f t="shared" si="66"/>
        <v>2</v>
      </c>
      <c r="BB131" s="108">
        <f t="shared" si="67"/>
        <v>3</v>
      </c>
      <c r="BC131" s="108">
        <f t="shared" si="68"/>
        <v>3</v>
      </c>
      <c r="BD131" s="108">
        <f t="shared" si="69"/>
        <v>3</v>
      </c>
      <c r="BE131" s="108">
        <f t="shared" si="70"/>
        <v>2</v>
      </c>
      <c r="BF131" s="108">
        <f t="shared" si="71"/>
        <v>2</v>
      </c>
      <c r="BG131" s="108">
        <f t="shared" si="72"/>
        <v>3</v>
      </c>
      <c r="BH131" s="108">
        <f t="shared" si="85"/>
        <v>49</v>
      </c>
      <c r="BJ131" s="108">
        <f t="shared" si="73"/>
        <v>5</v>
      </c>
      <c r="BK131" s="108">
        <f t="shared" si="74"/>
        <v>5</v>
      </c>
      <c r="BL131" s="108">
        <f t="shared" si="75"/>
        <v>5</v>
      </c>
      <c r="BM131" s="108">
        <f t="shared" si="76"/>
        <v>5</v>
      </c>
      <c r="BN131" s="108">
        <f t="shared" si="77"/>
        <v>5</v>
      </c>
      <c r="BO131" s="108">
        <f t="shared" si="78"/>
        <v>5</v>
      </c>
      <c r="BP131" s="108">
        <f t="shared" si="79"/>
        <v>5</v>
      </c>
      <c r="BQ131" s="108">
        <f t="shared" si="80"/>
        <v>5</v>
      </c>
      <c r="BR131" s="108">
        <f t="shared" si="81"/>
        <v>5</v>
      </c>
      <c r="BS131" s="108">
        <f t="shared" si="82"/>
        <v>5</v>
      </c>
      <c r="BT131" s="108">
        <f t="shared" si="86"/>
        <v>100</v>
      </c>
    </row>
    <row r="132" spans="1:72" ht="25" customHeight="1" x14ac:dyDescent="0.3">
      <c r="A132" s="185"/>
      <c r="B132" s="116" t="s">
        <v>1041</v>
      </c>
      <c r="C132" s="126" t="s">
        <v>870</v>
      </c>
      <c r="D132" s="124" t="s">
        <v>323</v>
      </c>
      <c r="E132" s="116" t="s">
        <v>679</v>
      </c>
      <c r="F132" s="111">
        <v>7.4901621160799996</v>
      </c>
      <c r="G132" s="111">
        <v>134.52180344300001</v>
      </c>
      <c r="H132" s="295" t="s">
        <v>327</v>
      </c>
      <c r="I132" s="334" t="s">
        <v>859</v>
      </c>
      <c r="J132" s="112">
        <v>2019</v>
      </c>
      <c r="K132" s="295" t="s">
        <v>843</v>
      </c>
      <c r="L132" s="117">
        <v>134</v>
      </c>
      <c r="M132" s="118" t="s">
        <v>308</v>
      </c>
      <c r="N132" s="118" t="s">
        <v>298</v>
      </c>
      <c r="O132" s="118" t="s">
        <v>330</v>
      </c>
      <c r="P132" s="196" t="s">
        <v>322</v>
      </c>
      <c r="Q132" s="118" t="s">
        <v>309</v>
      </c>
      <c r="R132" s="154">
        <v>3</v>
      </c>
      <c r="S132" s="154">
        <v>3</v>
      </c>
      <c r="T132" s="154">
        <v>3</v>
      </c>
      <c r="U132" s="154">
        <v>2</v>
      </c>
      <c r="V132" s="154">
        <v>2</v>
      </c>
      <c r="W132" s="154">
        <v>3</v>
      </c>
      <c r="X132" s="154">
        <v>3</v>
      </c>
      <c r="Y132" s="154">
        <v>2</v>
      </c>
      <c r="Z132" s="154">
        <v>3</v>
      </c>
      <c r="AA132" s="154">
        <v>3</v>
      </c>
      <c r="AB132" s="296">
        <f t="shared" si="83"/>
        <v>56.999999999999993</v>
      </c>
      <c r="AC132" s="297">
        <f t="shared" si="118"/>
        <v>335000</v>
      </c>
      <c r="AD132" s="301">
        <f t="shared" si="84"/>
        <v>1675</v>
      </c>
      <c r="AE132" s="298"/>
      <c r="AJ132" s="108">
        <f t="shared" ref="AJ132:AJ163" si="120">IF(OR(R132=1,R132=2),$L132,0)</f>
        <v>0</v>
      </c>
      <c r="AK132" s="108">
        <f t="shared" ref="AK132:AK163" si="121">IF(OR(S132=1,S132=2),$L132,0)</f>
        <v>0</v>
      </c>
      <c r="AL132" s="108">
        <f t="shared" ref="AL132:AL163" si="122">IF(OR(T132=1,T132=2),$L132,0)</f>
        <v>0</v>
      </c>
      <c r="AM132" s="108">
        <f t="shared" ref="AM132:AM163" si="123">IF(OR(U132=1,U132=2),$L132,0)</f>
        <v>134</v>
      </c>
      <c r="AN132" s="108">
        <f t="shared" ref="AN132:AN163" si="124">IF(OR(V132=1,V132=2),$L132,0)</f>
        <v>134</v>
      </c>
      <c r="AO132" s="108">
        <f t="shared" ref="AO132:AO163" si="125">IF(OR(W132=1,W132=2),$L132,0)</f>
        <v>0</v>
      </c>
      <c r="AP132" s="108">
        <f t="shared" ref="AP132:AP163" si="126">IF(OR(X132=1,X132=2),$L132,0)</f>
        <v>0</v>
      </c>
      <c r="AQ132" s="108">
        <f t="shared" ref="AQ132:AQ163" si="127">IF(OR(Y132=1,Y132=2),$L132,0)</f>
        <v>134</v>
      </c>
      <c r="AR132" s="108">
        <f t="shared" ref="AR132:AR163" si="128">IF(OR(Z132=1,Z132=2),$L132,0)</f>
        <v>0</v>
      </c>
      <c r="AX132" s="108">
        <f t="shared" ref="AX132:AX195" si="129">IF(OR(R132=1,R132=2,R132=3,R132=4,R132=5),R132,0)</f>
        <v>3</v>
      </c>
      <c r="AY132" s="108">
        <f t="shared" ref="AY132:AY195" si="130">IF(OR(S132=1,S132=2,S132=3,S132=4,S132=5),S132,0)</f>
        <v>3</v>
      </c>
      <c r="AZ132" s="108">
        <f t="shared" ref="AZ132:AZ195" si="131">IF(OR(T132=1,T132=2,T132=3,T132=4,T132=5),T132,0)</f>
        <v>3</v>
      </c>
      <c r="BA132" s="108">
        <f t="shared" ref="BA132:BA195" si="132">IF(OR(U132=1,U132=2,U132=3,U132=4,U132=5),U132,0)</f>
        <v>2</v>
      </c>
      <c r="BB132" s="108">
        <f t="shared" ref="BB132:BB195" si="133">IF(OR(V132=1,V132=2,V132=3,V132=4,V132=5),V132,0)</f>
        <v>2</v>
      </c>
      <c r="BC132" s="108">
        <f t="shared" ref="BC132:BC195" si="134">IF(OR(W132=1,W132=2,W132=3,W132=4,W132=5),W132,0)</f>
        <v>3</v>
      </c>
      <c r="BD132" s="108">
        <f t="shared" ref="BD132:BD195" si="135">IF(OR(X132=1,X132=2,X132=3,X132=4,X132=5),X132,0)</f>
        <v>3</v>
      </c>
      <c r="BE132" s="108">
        <f t="shared" ref="BE132:BE195" si="136">IF(OR(Y132=1,Y132=2,Y132=3,Y132=4,Y132=5),Y132,0)</f>
        <v>2</v>
      </c>
      <c r="BF132" s="108">
        <f t="shared" ref="BF132:BF195" si="137">IF(OR(Z132=1,Z132=2,Z132=3,Z132=4,Z132=5),Z132,0)</f>
        <v>3</v>
      </c>
      <c r="BG132" s="108">
        <f t="shared" ref="BG132:BG195" si="138">IF(OR(AA132=1,AA132=2,AA132=3,AA132=4,AA132=5),AA132,0)</f>
        <v>3</v>
      </c>
      <c r="BH132" s="108">
        <f t="shared" si="85"/>
        <v>57</v>
      </c>
      <c r="BJ132" s="108">
        <f t="shared" ref="BJ132:BJ195" si="139">IF(OR(R132=1,R132=2,R132=3,R132=4,R132=5),5,0)</f>
        <v>5</v>
      </c>
      <c r="BK132" s="108">
        <f t="shared" ref="BK132:BK195" si="140">IF(OR(S132=1,S132=2,S132=3,S132=4,S132=5),5,0)</f>
        <v>5</v>
      </c>
      <c r="BL132" s="108">
        <f t="shared" ref="BL132:BL195" si="141">IF(OR(T132=1,T132=2,T132=3,T132=4,T132=5),5,0)</f>
        <v>5</v>
      </c>
      <c r="BM132" s="108">
        <f t="shared" ref="BM132:BM195" si="142">IF(OR(U132=1,U132=2,U132=3,U132=4,U132=5),5,0)</f>
        <v>5</v>
      </c>
      <c r="BN132" s="108">
        <f t="shared" ref="BN132:BN195" si="143">IF(OR(V132=1,V132=2,V132=3,V132=4,V132=5),5,0)</f>
        <v>5</v>
      </c>
      <c r="BO132" s="108">
        <f t="shared" ref="BO132:BO195" si="144">IF(OR(W132=1,W132=2,W132=3,W132=4,W132=5),5,0)</f>
        <v>5</v>
      </c>
      <c r="BP132" s="108">
        <f t="shared" ref="BP132:BP195" si="145">IF(OR(X132=1,X132=2,X132=3,X132=4,X132=5),5,0)</f>
        <v>5</v>
      </c>
      <c r="BQ132" s="108">
        <f t="shared" ref="BQ132:BQ195" si="146">IF(OR(Y132=1,Y132=2,Y132=3,Y132=4,Y132=5),5,0)</f>
        <v>5</v>
      </c>
      <c r="BR132" s="108">
        <f t="shared" ref="BR132:BR195" si="147">IF(OR(Z132=1,Z132=2,Z132=3,Z132=4,Z132=5),5,0)</f>
        <v>5</v>
      </c>
      <c r="BS132" s="108">
        <f t="shared" ref="BS132:BS195" si="148">IF(OR(AA132=1,AA132=2,AA132=3,AA132=4,AA132=5),5,0)</f>
        <v>5</v>
      </c>
      <c r="BT132" s="108">
        <f t="shared" si="86"/>
        <v>100</v>
      </c>
    </row>
    <row r="133" spans="1:72" ht="25" customHeight="1" x14ac:dyDescent="0.3">
      <c r="A133" s="185"/>
      <c r="B133" s="116" t="s">
        <v>1041</v>
      </c>
      <c r="C133" s="126" t="s">
        <v>871</v>
      </c>
      <c r="D133" s="124" t="s">
        <v>323</v>
      </c>
      <c r="E133" s="116" t="s">
        <v>679</v>
      </c>
      <c r="F133" s="111">
        <v>7.4901621160799996</v>
      </c>
      <c r="G133" s="111">
        <v>134.52180344300001</v>
      </c>
      <c r="H133" s="295" t="s">
        <v>327</v>
      </c>
      <c r="I133" s="334" t="s">
        <v>859</v>
      </c>
      <c r="J133" s="112">
        <v>2019</v>
      </c>
      <c r="K133" s="295" t="s">
        <v>843</v>
      </c>
      <c r="L133" s="117">
        <v>74</v>
      </c>
      <c r="M133" s="118" t="s">
        <v>308</v>
      </c>
      <c r="N133" s="118" t="s">
        <v>298</v>
      </c>
      <c r="O133" s="118" t="s">
        <v>330</v>
      </c>
      <c r="P133" s="196" t="s">
        <v>322</v>
      </c>
      <c r="Q133" s="118" t="s">
        <v>309</v>
      </c>
      <c r="R133" s="154">
        <v>3</v>
      </c>
      <c r="S133" s="154">
        <v>3</v>
      </c>
      <c r="T133" s="154">
        <v>3</v>
      </c>
      <c r="U133" s="154">
        <v>2</v>
      </c>
      <c r="V133" s="154">
        <v>3</v>
      </c>
      <c r="W133" s="154">
        <v>3</v>
      </c>
      <c r="X133" s="154">
        <v>3</v>
      </c>
      <c r="Y133" s="154">
        <v>4</v>
      </c>
      <c r="Z133" s="154">
        <v>4</v>
      </c>
      <c r="AA133" s="154">
        <v>3</v>
      </c>
      <c r="AB133" s="296">
        <f t="shared" ref="AB133:AB196" si="149">BH133/BT133*100</f>
        <v>61</v>
      </c>
      <c r="AC133" s="297">
        <f t="shared" si="118"/>
        <v>185000</v>
      </c>
      <c r="AD133" s="301">
        <f t="shared" ref="AD133:AD196" si="150">AD$2*AC133</f>
        <v>925</v>
      </c>
      <c r="AE133" s="298"/>
      <c r="AJ133" s="108">
        <f t="shared" si="120"/>
        <v>0</v>
      </c>
      <c r="AK133" s="108">
        <f t="shared" si="121"/>
        <v>0</v>
      </c>
      <c r="AL133" s="108">
        <f t="shared" si="122"/>
        <v>0</v>
      </c>
      <c r="AM133" s="108">
        <f t="shared" si="123"/>
        <v>74</v>
      </c>
      <c r="AN133" s="108">
        <f t="shared" si="124"/>
        <v>0</v>
      </c>
      <c r="AO133" s="108">
        <f t="shared" si="125"/>
        <v>0</v>
      </c>
      <c r="AP133" s="108">
        <f t="shared" si="126"/>
        <v>0</v>
      </c>
      <c r="AQ133" s="108">
        <f t="shared" si="127"/>
        <v>0</v>
      </c>
      <c r="AR133" s="108">
        <f t="shared" si="128"/>
        <v>0</v>
      </c>
      <c r="AX133" s="108">
        <f t="shared" si="129"/>
        <v>3</v>
      </c>
      <c r="AY133" s="108">
        <f t="shared" si="130"/>
        <v>3</v>
      </c>
      <c r="AZ133" s="108">
        <f t="shared" si="131"/>
        <v>3</v>
      </c>
      <c r="BA133" s="108">
        <f t="shared" si="132"/>
        <v>2</v>
      </c>
      <c r="BB133" s="108">
        <f t="shared" si="133"/>
        <v>3</v>
      </c>
      <c r="BC133" s="108">
        <f t="shared" si="134"/>
        <v>3</v>
      </c>
      <c r="BD133" s="108">
        <f t="shared" si="135"/>
        <v>3</v>
      </c>
      <c r="BE133" s="108">
        <f t="shared" si="136"/>
        <v>4</v>
      </c>
      <c r="BF133" s="108">
        <f t="shared" si="137"/>
        <v>4</v>
      </c>
      <c r="BG133" s="108">
        <f t="shared" si="138"/>
        <v>3</v>
      </c>
      <c r="BH133" s="108">
        <f t="shared" ref="BH133:BH196" si="151">AX$2*AX133+AY$2*AY133+AZ$2*AZ133+BA$2*BA133+BB$2*BB133+BC$2*BC133+BD$2*BD133+BE$2*BE133+BF$2*BF133+BG$2*BG133</f>
        <v>61</v>
      </c>
      <c r="BJ133" s="108">
        <f t="shared" si="139"/>
        <v>5</v>
      </c>
      <c r="BK133" s="108">
        <f t="shared" si="140"/>
        <v>5</v>
      </c>
      <c r="BL133" s="108">
        <f t="shared" si="141"/>
        <v>5</v>
      </c>
      <c r="BM133" s="108">
        <f t="shared" si="142"/>
        <v>5</v>
      </c>
      <c r="BN133" s="108">
        <f t="shared" si="143"/>
        <v>5</v>
      </c>
      <c r="BO133" s="108">
        <f t="shared" si="144"/>
        <v>5</v>
      </c>
      <c r="BP133" s="108">
        <f t="shared" si="145"/>
        <v>5</v>
      </c>
      <c r="BQ133" s="108">
        <f t="shared" si="146"/>
        <v>5</v>
      </c>
      <c r="BR133" s="108">
        <f t="shared" si="147"/>
        <v>5</v>
      </c>
      <c r="BS133" s="108">
        <f t="shared" si="148"/>
        <v>5</v>
      </c>
      <c r="BT133" s="108">
        <f t="shared" ref="BT133:BT196" si="152">BJ$2*BJ133+BK$2*BK133+BL$2*BL133+BM$2*BM133+BN$2*BN133+BO$2*BO133+BP$2*BP133+BQ$2*BQ133+BR$2*BR133+BS$2*BS133</f>
        <v>100</v>
      </c>
    </row>
    <row r="134" spans="1:72" ht="25" customHeight="1" x14ac:dyDescent="0.3">
      <c r="A134" s="185"/>
      <c r="B134" s="116" t="s">
        <v>1042</v>
      </c>
      <c r="C134" s="126" t="s">
        <v>872</v>
      </c>
      <c r="D134" s="124" t="s">
        <v>323</v>
      </c>
      <c r="E134" s="116" t="s">
        <v>679</v>
      </c>
      <c r="F134" s="111">
        <v>7.4901621160799996</v>
      </c>
      <c r="G134" s="111">
        <v>134.52180344300001</v>
      </c>
      <c r="H134" s="295" t="s">
        <v>327</v>
      </c>
      <c r="I134" s="334" t="s">
        <v>859</v>
      </c>
      <c r="J134" s="112">
        <v>2019</v>
      </c>
      <c r="K134" s="295" t="s">
        <v>843</v>
      </c>
      <c r="L134" s="117">
        <v>48</v>
      </c>
      <c r="M134" s="118" t="s">
        <v>308</v>
      </c>
      <c r="N134" s="118" t="s">
        <v>298</v>
      </c>
      <c r="O134" s="118" t="s">
        <v>330</v>
      </c>
      <c r="P134" s="196" t="s">
        <v>322</v>
      </c>
      <c r="Q134" s="118" t="s">
        <v>309</v>
      </c>
      <c r="R134" s="154">
        <v>3</v>
      </c>
      <c r="S134" s="154">
        <v>3</v>
      </c>
      <c r="T134" s="154">
        <v>3</v>
      </c>
      <c r="U134" s="154">
        <v>2</v>
      </c>
      <c r="V134" s="154">
        <v>4</v>
      </c>
      <c r="W134" s="154">
        <v>4</v>
      </c>
      <c r="X134" s="154">
        <v>3</v>
      </c>
      <c r="Y134" s="154" t="s">
        <v>92</v>
      </c>
      <c r="Z134" s="154">
        <v>3</v>
      </c>
      <c r="AA134" s="154">
        <v>3</v>
      </c>
      <c r="AB134" s="296">
        <f t="shared" si="149"/>
        <v>61.05263157894737</v>
      </c>
      <c r="AC134" s="297">
        <f t="shared" si="118"/>
        <v>120000</v>
      </c>
      <c r="AD134" s="301">
        <f t="shared" si="150"/>
        <v>600</v>
      </c>
      <c r="AE134" s="298"/>
      <c r="AJ134" s="108">
        <f t="shared" si="120"/>
        <v>0</v>
      </c>
      <c r="AK134" s="108">
        <f t="shared" si="121"/>
        <v>0</v>
      </c>
      <c r="AL134" s="108">
        <f t="shared" si="122"/>
        <v>0</v>
      </c>
      <c r="AM134" s="108">
        <f t="shared" si="123"/>
        <v>48</v>
      </c>
      <c r="AN134" s="108">
        <f t="shared" si="124"/>
        <v>0</v>
      </c>
      <c r="AO134" s="108">
        <f t="shared" si="125"/>
        <v>0</v>
      </c>
      <c r="AP134" s="108">
        <f t="shared" si="126"/>
        <v>0</v>
      </c>
      <c r="AQ134" s="108">
        <f t="shared" si="127"/>
        <v>0</v>
      </c>
      <c r="AR134" s="108">
        <f t="shared" si="128"/>
        <v>0</v>
      </c>
      <c r="AX134" s="108">
        <f t="shared" si="129"/>
        <v>3</v>
      </c>
      <c r="AY134" s="108">
        <f t="shared" si="130"/>
        <v>3</v>
      </c>
      <c r="AZ134" s="108">
        <f t="shared" si="131"/>
        <v>3</v>
      </c>
      <c r="BA134" s="108">
        <f t="shared" si="132"/>
        <v>2</v>
      </c>
      <c r="BB134" s="108">
        <f t="shared" si="133"/>
        <v>4</v>
      </c>
      <c r="BC134" s="108">
        <f t="shared" si="134"/>
        <v>4</v>
      </c>
      <c r="BD134" s="108">
        <f t="shared" si="135"/>
        <v>3</v>
      </c>
      <c r="BE134" s="108">
        <f t="shared" si="136"/>
        <v>0</v>
      </c>
      <c r="BF134" s="108">
        <f t="shared" si="137"/>
        <v>3</v>
      </c>
      <c r="BG134" s="108">
        <f t="shared" si="138"/>
        <v>3</v>
      </c>
      <c r="BH134" s="108">
        <f t="shared" si="151"/>
        <v>58</v>
      </c>
      <c r="BJ134" s="108">
        <f t="shared" si="139"/>
        <v>5</v>
      </c>
      <c r="BK134" s="108">
        <f t="shared" si="140"/>
        <v>5</v>
      </c>
      <c r="BL134" s="108">
        <f t="shared" si="141"/>
        <v>5</v>
      </c>
      <c r="BM134" s="108">
        <f t="shared" si="142"/>
        <v>5</v>
      </c>
      <c r="BN134" s="108">
        <f t="shared" si="143"/>
        <v>5</v>
      </c>
      <c r="BO134" s="108">
        <f t="shared" si="144"/>
        <v>5</v>
      </c>
      <c r="BP134" s="108">
        <f t="shared" si="145"/>
        <v>5</v>
      </c>
      <c r="BQ134" s="108">
        <f t="shared" si="146"/>
        <v>0</v>
      </c>
      <c r="BR134" s="108">
        <f t="shared" si="147"/>
        <v>5</v>
      </c>
      <c r="BS134" s="108">
        <f t="shared" si="148"/>
        <v>5</v>
      </c>
      <c r="BT134" s="108">
        <f t="shared" si="152"/>
        <v>95</v>
      </c>
    </row>
    <row r="135" spans="1:72" ht="25" customHeight="1" x14ac:dyDescent="0.3">
      <c r="A135" s="185"/>
      <c r="B135" s="116" t="s">
        <v>1043</v>
      </c>
      <c r="C135" s="126" t="s">
        <v>873</v>
      </c>
      <c r="D135" s="124" t="s">
        <v>323</v>
      </c>
      <c r="E135" s="116" t="s">
        <v>697</v>
      </c>
      <c r="F135" s="111">
        <v>7.4202555403500003</v>
      </c>
      <c r="G135" s="111">
        <v>134.49604135199999</v>
      </c>
      <c r="H135" s="295" t="s">
        <v>874</v>
      </c>
      <c r="I135" s="334">
        <v>2002</v>
      </c>
      <c r="J135" s="112">
        <v>2019</v>
      </c>
      <c r="K135" s="295" t="s">
        <v>843</v>
      </c>
      <c r="L135" s="117">
        <v>167</v>
      </c>
      <c r="M135" s="118" t="s">
        <v>308</v>
      </c>
      <c r="N135" s="118" t="s">
        <v>298</v>
      </c>
      <c r="O135" s="118" t="s">
        <v>330</v>
      </c>
      <c r="P135" s="196" t="s">
        <v>322</v>
      </c>
      <c r="Q135" s="118" t="s">
        <v>309</v>
      </c>
      <c r="R135" s="154">
        <v>4</v>
      </c>
      <c r="S135" s="154">
        <v>3</v>
      </c>
      <c r="T135" s="154">
        <v>4</v>
      </c>
      <c r="U135" s="154">
        <v>5</v>
      </c>
      <c r="V135" s="154">
        <v>5</v>
      </c>
      <c r="W135" s="154">
        <v>2</v>
      </c>
      <c r="X135" s="154">
        <v>3</v>
      </c>
      <c r="Y135" s="154">
        <v>3</v>
      </c>
      <c r="Z135" s="154">
        <v>3</v>
      </c>
      <c r="AA135" s="154">
        <v>4</v>
      </c>
      <c r="AB135" s="296">
        <f t="shared" si="149"/>
        <v>72</v>
      </c>
      <c r="AC135" s="297">
        <f t="shared" si="118"/>
        <v>417500</v>
      </c>
      <c r="AD135" s="301">
        <f t="shared" si="150"/>
        <v>2087.5</v>
      </c>
      <c r="AE135" s="298"/>
      <c r="AJ135" s="108">
        <f t="shared" si="120"/>
        <v>0</v>
      </c>
      <c r="AK135" s="108">
        <f t="shared" si="121"/>
        <v>0</v>
      </c>
      <c r="AL135" s="108">
        <f t="shared" si="122"/>
        <v>0</v>
      </c>
      <c r="AM135" s="108">
        <f t="shared" si="123"/>
        <v>0</v>
      </c>
      <c r="AN135" s="108">
        <f t="shared" si="124"/>
        <v>0</v>
      </c>
      <c r="AO135" s="108">
        <f t="shared" si="125"/>
        <v>167</v>
      </c>
      <c r="AP135" s="108">
        <f t="shared" si="126"/>
        <v>0</v>
      </c>
      <c r="AQ135" s="108">
        <f t="shared" si="127"/>
        <v>0</v>
      </c>
      <c r="AR135" s="108">
        <f t="shared" si="128"/>
        <v>0</v>
      </c>
      <c r="AX135" s="108">
        <f t="shared" si="129"/>
        <v>4</v>
      </c>
      <c r="AY135" s="108">
        <f t="shared" si="130"/>
        <v>3</v>
      </c>
      <c r="AZ135" s="108">
        <f t="shared" si="131"/>
        <v>4</v>
      </c>
      <c r="BA135" s="108">
        <f t="shared" si="132"/>
        <v>5</v>
      </c>
      <c r="BB135" s="108">
        <f t="shared" si="133"/>
        <v>5</v>
      </c>
      <c r="BC135" s="108">
        <f t="shared" si="134"/>
        <v>2</v>
      </c>
      <c r="BD135" s="108">
        <f t="shared" si="135"/>
        <v>3</v>
      </c>
      <c r="BE135" s="108">
        <f t="shared" si="136"/>
        <v>3</v>
      </c>
      <c r="BF135" s="108">
        <f t="shared" si="137"/>
        <v>3</v>
      </c>
      <c r="BG135" s="108">
        <f t="shared" si="138"/>
        <v>4</v>
      </c>
      <c r="BH135" s="108">
        <f t="shared" si="151"/>
        <v>72</v>
      </c>
      <c r="BJ135" s="108">
        <f t="shared" si="139"/>
        <v>5</v>
      </c>
      <c r="BK135" s="108">
        <f t="shared" si="140"/>
        <v>5</v>
      </c>
      <c r="BL135" s="108">
        <f t="shared" si="141"/>
        <v>5</v>
      </c>
      <c r="BM135" s="108">
        <f t="shared" si="142"/>
        <v>5</v>
      </c>
      <c r="BN135" s="108">
        <f t="shared" si="143"/>
        <v>5</v>
      </c>
      <c r="BO135" s="108">
        <f t="shared" si="144"/>
        <v>5</v>
      </c>
      <c r="BP135" s="108">
        <f t="shared" si="145"/>
        <v>5</v>
      </c>
      <c r="BQ135" s="108">
        <f t="shared" si="146"/>
        <v>5</v>
      </c>
      <c r="BR135" s="108">
        <f t="shared" si="147"/>
        <v>5</v>
      </c>
      <c r="BS135" s="108">
        <f t="shared" si="148"/>
        <v>5</v>
      </c>
      <c r="BT135" s="108">
        <f t="shared" si="152"/>
        <v>100</v>
      </c>
    </row>
    <row r="136" spans="1:72" ht="25" customHeight="1" x14ac:dyDescent="0.3">
      <c r="A136" s="185"/>
      <c r="B136" s="116" t="s">
        <v>1044</v>
      </c>
      <c r="C136" s="126" t="s">
        <v>875</v>
      </c>
      <c r="D136" s="124" t="s">
        <v>323</v>
      </c>
      <c r="E136" s="116" t="s">
        <v>697</v>
      </c>
      <c r="F136" s="111">
        <v>7.4202555403500003</v>
      </c>
      <c r="G136" s="111">
        <v>134.49604135199999</v>
      </c>
      <c r="H136" s="295" t="s">
        <v>327</v>
      </c>
      <c r="I136" s="112" t="s">
        <v>380</v>
      </c>
      <c r="J136" s="112">
        <v>2018</v>
      </c>
      <c r="K136" s="295" t="s">
        <v>843</v>
      </c>
      <c r="L136" s="117">
        <v>418</v>
      </c>
      <c r="M136" s="118" t="s">
        <v>308</v>
      </c>
      <c r="N136" s="118" t="s">
        <v>298</v>
      </c>
      <c r="O136" s="118" t="s">
        <v>330</v>
      </c>
      <c r="P136" s="196" t="s">
        <v>322</v>
      </c>
      <c r="Q136" s="118" t="s">
        <v>309</v>
      </c>
      <c r="R136" s="154">
        <v>3</v>
      </c>
      <c r="S136" s="154">
        <v>3</v>
      </c>
      <c r="T136" s="154">
        <v>4</v>
      </c>
      <c r="U136" s="154">
        <v>2</v>
      </c>
      <c r="V136" s="154">
        <v>4</v>
      </c>
      <c r="W136" s="154">
        <v>3</v>
      </c>
      <c r="X136" s="154" t="s">
        <v>92</v>
      </c>
      <c r="Y136" s="154">
        <v>3</v>
      </c>
      <c r="Z136" s="154">
        <v>3</v>
      </c>
      <c r="AA136" s="154">
        <v>3</v>
      </c>
      <c r="AB136" s="296">
        <f t="shared" si="149"/>
        <v>62.10526315789474</v>
      </c>
      <c r="AC136" s="297">
        <f t="shared" si="118"/>
        <v>1045000</v>
      </c>
      <c r="AD136" s="301">
        <f t="shared" si="150"/>
        <v>5225</v>
      </c>
      <c r="AE136" s="298"/>
      <c r="AJ136" s="108">
        <f t="shared" si="120"/>
        <v>0</v>
      </c>
      <c r="AK136" s="108">
        <f t="shared" si="121"/>
        <v>0</v>
      </c>
      <c r="AL136" s="108">
        <f t="shared" si="122"/>
        <v>0</v>
      </c>
      <c r="AM136" s="108">
        <f t="shared" si="123"/>
        <v>418</v>
      </c>
      <c r="AN136" s="108">
        <f t="shared" si="124"/>
        <v>0</v>
      </c>
      <c r="AO136" s="108">
        <f t="shared" si="125"/>
        <v>0</v>
      </c>
      <c r="AP136" s="108">
        <f t="shared" si="126"/>
        <v>0</v>
      </c>
      <c r="AQ136" s="108">
        <f t="shared" si="127"/>
        <v>0</v>
      </c>
      <c r="AR136" s="108">
        <f t="shared" si="128"/>
        <v>0</v>
      </c>
      <c r="AX136" s="108">
        <f t="shared" si="129"/>
        <v>3</v>
      </c>
      <c r="AY136" s="108">
        <f t="shared" si="130"/>
        <v>3</v>
      </c>
      <c r="AZ136" s="108">
        <f t="shared" si="131"/>
        <v>4</v>
      </c>
      <c r="BA136" s="108">
        <f t="shared" si="132"/>
        <v>2</v>
      </c>
      <c r="BB136" s="108">
        <f t="shared" si="133"/>
        <v>4</v>
      </c>
      <c r="BC136" s="108">
        <f t="shared" si="134"/>
        <v>3</v>
      </c>
      <c r="BD136" s="108">
        <f t="shared" si="135"/>
        <v>0</v>
      </c>
      <c r="BE136" s="108">
        <f t="shared" si="136"/>
        <v>3</v>
      </c>
      <c r="BF136" s="108">
        <f t="shared" si="137"/>
        <v>3</v>
      </c>
      <c r="BG136" s="108">
        <f t="shared" si="138"/>
        <v>3</v>
      </c>
      <c r="BH136" s="108">
        <f t="shared" si="151"/>
        <v>59</v>
      </c>
      <c r="BJ136" s="108">
        <f t="shared" si="139"/>
        <v>5</v>
      </c>
      <c r="BK136" s="108">
        <f t="shared" si="140"/>
        <v>5</v>
      </c>
      <c r="BL136" s="108">
        <f t="shared" si="141"/>
        <v>5</v>
      </c>
      <c r="BM136" s="108">
        <f t="shared" si="142"/>
        <v>5</v>
      </c>
      <c r="BN136" s="108">
        <f t="shared" si="143"/>
        <v>5</v>
      </c>
      <c r="BO136" s="108">
        <f t="shared" si="144"/>
        <v>5</v>
      </c>
      <c r="BP136" s="108">
        <f t="shared" si="145"/>
        <v>0</v>
      </c>
      <c r="BQ136" s="108">
        <f t="shared" si="146"/>
        <v>5</v>
      </c>
      <c r="BR136" s="108">
        <f t="shared" si="147"/>
        <v>5</v>
      </c>
      <c r="BS136" s="108">
        <f t="shared" si="148"/>
        <v>5</v>
      </c>
      <c r="BT136" s="108">
        <f t="shared" si="152"/>
        <v>95</v>
      </c>
    </row>
    <row r="137" spans="1:72" ht="25" customHeight="1" x14ac:dyDescent="0.3">
      <c r="A137" s="185"/>
      <c r="B137" s="116" t="s">
        <v>1045</v>
      </c>
      <c r="C137" s="126" t="s">
        <v>876</v>
      </c>
      <c r="D137" s="124" t="s">
        <v>323</v>
      </c>
      <c r="E137" s="116" t="s">
        <v>697</v>
      </c>
      <c r="F137" s="111">
        <v>7.4202555403500003</v>
      </c>
      <c r="G137" s="111">
        <v>134.49604135199999</v>
      </c>
      <c r="H137" s="295" t="s">
        <v>327</v>
      </c>
      <c r="I137" s="112" t="s">
        <v>380</v>
      </c>
      <c r="J137" s="112" t="s">
        <v>848</v>
      </c>
      <c r="K137" s="295" t="s">
        <v>848</v>
      </c>
      <c r="L137" s="117">
        <v>139</v>
      </c>
      <c r="M137" s="118" t="s">
        <v>308</v>
      </c>
      <c r="N137" s="118" t="s">
        <v>298</v>
      </c>
      <c r="O137" s="118" t="s">
        <v>330</v>
      </c>
      <c r="P137" s="196" t="s">
        <v>322</v>
      </c>
      <c r="Q137" s="118" t="s">
        <v>309</v>
      </c>
      <c r="R137" s="154">
        <v>3</v>
      </c>
      <c r="S137" s="154">
        <v>3</v>
      </c>
      <c r="T137" s="154">
        <v>3</v>
      </c>
      <c r="U137" s="154">
        <v>2</v>
      </c>
      <c r="V137" s="154">
        <v>2</v>
      </c>
      <c r="W137" s="154">
        <v>3</v>
      </c>
      <c r="X137" s="154">
        <v>2</v>
      </c>
      <c r="Y137" s="154" t="s">
        <v>92</v>
      </c>
      <c r="Z137" s="154">
        <v>3</v>
      </c>
      <c r="AA137" s="154">
        <v>3</v>
      </c>
      <c r="AB137" s="296">
        <f t="shared" si="149"/>
        <v>56.84210526315789</v>
      </c>
      <c r="AC137" s="297">
        <f t="shared" si="118"/>
        <v>347500</v>
      </c>
      <c r="AD137" s="301">
        <f t="shared" si="150"/>
        <v>1737.5</v>
      </c>
      <c r="AE137" s="298"/>
      <c r="AJ137" s="108">
        <f t="shared" si="120"/>
        <v>0</v>
      </c>
      <c r="AK137" s="108">
        <f t="shared" si="121"/>
        <v>0</v>
      </c>
      <c r="AL137" s="108">
        <f t="shared" si="122"/>
        <v>0</v>
      </c>
      <c r="AM137" s="108">
        <f t="shared" si="123"/>
        <v>139</v>
      </c>
      <c r="AN137" s="108">
        <f t="shared" si="124"/>
        <v>139</v>
      </c>
      <c r="AO137" s="108">
        <f t="shared" si="125"/>
        <v>0</v>
      </c>
      <c r="AP137" s="108">
        <f t="shared" si="126"/>
        <v>139</v>
      </c>
      <c r="AQ137" s="108">
        <f t="shared" si="127"/>
        <v>0</v>
      </c>
      <c r="AR137" s="108">
        <f t="shared" si="128"/>
        <v>0</v>
      </c>
      <c r="AX137" s="108">
        <f t="shared" si="129"/>
        <v>3</v>
      </c>
      <c r="AY137" s="108">
        <f t="shared" si="130"/>
        <v>3</v>
      </c>
      <c r="AZ137" s="108">
        <f t="shared" si="131"/>
        <v>3</v>
      </c>
      <c r="BA137" s="108">
        <f t="shared" si="132"/>
        <v>2</v>
      </c>
      <c r="BB137" s="108">
        <f t="shared" si="133"/>
        <v>2</v>
      </c>
      <c r="BC137" s="108">
        <f t="shared" si="134"/>
        <v>3</v>
      </c>
      <c r="BD137" s="108">
        <f t="shared" si="135"/>
        <v>2</v>
      </c>
      <c r="BE137" s="108">
        <f t="shared" si="136"/>
        <v>0</v>
      </c>
      <c r="BF137" s="108">
        <f t="shared" si="137"/>
        <v>3</v>
      </c>
      <c r="BG137" s="108">
        <f t="shared" si="138"/>
        <v>3</v>
      </c>
      <c r="BH137" s="108">
        <f t="shared" si="151"/>
        <v>54</v>
      </c>
      <c r="BJ137" s="108">
        <f t="shared" si="139"/>
        <v>5</v>
      </c>
      <c r="BK137" s="108">
        <f t="shared" si="140"/>
        <v>5</v>
      </c>
      <c r="BL137" s="108">
        <f t="shared" si="141"/>
        <v>5</v>
      </c>
      <c r="BM137" s="108">
        <f t="shared" si="142"/>
        <v>5</v>
      </c>
      <c r="BN137" s="108">
        <f t="shared" si="143"/>
        <v>5</v>
      </c>
      <c r="BO137" s="108">
        <f t="shared" si="144"/>
        <v>5</v>
      </c>
      <c r="BP137" s="108">
        <f t="shared" si="145"/>
        <v>5</v>
      </c>
      <c r="BQ137" s="108">
        <f t="shared" si="146"/>
        <v>0</v>
      </c>
      <c r="BR137" s="108">
        <f t="shared" si="147"/>
        <v>5</v>
      </c>
      <c r="BS137" s="108">
        <f t="shared" si="148"/>
        <v>5</v>
      </c>
      <c r="BT137" s="108">
        <f t="shared" si="152"/>
        <v>95</v>
      </c>
    </row>
    <row r="138" spans="1:72" ht="25" customHeight="1" x14ac:dyDescent="0.3">
      <c r="A138" s="185"/>
      <c r="B138" s="116" t="s">
        <v>1046</v>
      </c>
      <c r="C138" s="126" t="s">
        <v>877</v>
      </c>
      <c r="D138" s="124" t="s">
        <v>323</v>
      </c>
      <c r="E138" s="116" t="s">
        <v>697</v>
      </c>
      <c r="F138" s="111">
        <v>7.4202555403500003</v>
      </c>
      <c r="G138" s="111">
        <v>134.49604135199999</v>
      </c>
      <c r="H138" s="295" t="s">
        <v>327</v>
      </c>
      <c r="I138" s="112" t="s">
        <v>380</v>
      </c>
      <c r="J138" s="112" t="s">
        <v>848</v>
      </c>
      <c r="K138" s="295" t="s">
        <v>848</v>
      </c>
      <c r="L138" s="117">
        <v>111</v>
      </c>
      <c r="M138" s="118" t="s">
        <v>308</v>
      </c>
      <c r="N138" s="118" t="s">
        <v>298</v>
      </c>
      <c r="O138" s="118" t="s">
        <v>330</v>
      </c>
      <c r="P138" s="196" t="s">
        <v>322</v>
      </c>
      <c r="Q138" s="118" t="s">
        <v>309</v>
      </c>
      <c r="R138" s="154">
        <v>2</v>
      </c>
      <c r="S138" s="154">
        <v>2</v>
      </c>
      <c r="T138" s="154">
        <v>4</v>
      </c>
      <c r="U138" s="154">
        <v>2</v>
      </c>
      <c r="V138" s="154">
        <v>4</v>
      </c>
      <c r="W138" s="154">
        <v>3</v>
      </c>
      <c r="X138" s="154">
        <v>2</v>
      </c>
      <c r="Y138" s="154">
        <v>3</v>
      </c>
      <c r="Z138" s="154">
        <v>3</v>
      </c>
      <c r="AA138" s="154">
        <v>3</v>
      </c>
      <c r="AB138" s="296">
        <f t="shared" si="149"/>
        <v>53</v>
      </c>
      <c r="AC138" s="297">
        <f t="shared" si="118"/>
        <v>277500</v>
      </c>
      <c r="AD138" s="301">
        <f t="shared" si="150"/>
        <v>1387.5</v>
      </c>
      <c r="AE138" s="298"/>
      <c r="AJ138" s="108">
        <f t="shared" si="120"/>
        <v>111</v>
      </c>
      <c r="AK138" s="108">
        <f t="shared" si="121"/>
        <v>111</v>
      </c>
      <c r="AL138" s="108">
        <f t="shared" si="122"/>
        <v>0</v>
      </c>
      <c r="AM138" s="108">
        <f t="shared" si="123"/>
        <v>111</v>
      </c>
      <c r="AN138" s="108">
        <f t="shared" si="124"/>
        <v>0</v>
      </c>
      <c r="AO138" s="108">
        <f t="shared" si="125"/>
        <v>0</v>
      </c>
      <c r="AP138" s="108">
        <f t="shared" si="126"/>
        <v>111</v>
      </c>
      <c r="AQ138" s="108">
        <f t="shared" si="127"/>
        <v>0</v>
      </c>
      <c r="AR138" s="108">
        <f t="shared" si="128"/>
        <v>0</v>
      </c>
      <c r="AX138" s="108">
        <f t="shared" si="129"/>
        <v>2</v>
      </c>
      <c r="AY138" s="108">
        <f t="shared" si="130"/>
        <v>2</v>
      </c>
      <c r="AZ138" s="108">
        <f t="shared" si="131"/>
        <v>4</v>
      </c>
      <c r="BA138" s="108">
        <f t="shared" si="132"/>
        <v>2</v>
      </c>
      <c r="BB138" s="108">
        <f t="shared" si="133"/>
        <v>4</v>
      </c>
      <c r="BC138" s="108">
        <f t="shared" si="134"/>
        <v>3</v>
      </c>
      <c r="BD138" s="108">
        <f t="shared" si="135"/>
        <v>2</v>
      </c>
      <c r="BE138" s="108">
        <f t="shared" si="136"/>
        <v>3</v>
      </c>
      <c r="BF138" s="108">
        <f t="shared" si="137"/>
        <v>3</v>
      </c>
      <c r="BG138" s="108">
        <f t="shared" si="138"/>
        <v>3</v>
      </c>
      <c r="BH138" s="108">
        <f t="shared" si="151"/>
        <v>53</v>
      </c>
      <c r="BJ138" s="108">
        <f t="shared" si="139"/>
        <v>5</v>
      </c>
      <c r="BK138" s="108">
        <f t="shared" si="140"/>
        <v>5</v>
      </c>
      <c r="BL138" s="108">
        <f t="shared" si="141"/>
        <v>5</v>
      </c>
      <c r="BM138" s="108">
        <f t="shared" si="142"/>
        <v>5</v>
      </c>
      <c r="BN138" s="108">
        <f t="shared" si="143"/>
        <v>5</v>
      </c>
      <c r="BO138" s="108">
        <f t="shared" si="144"/>
        <v>5</v>
      </c>
      <c r="BP138" s="108">
        <f t="shared" si="145"/>
        <v>5</v>
      </c>
      <c r="BQ138" s="108">
        <f t="shared" si="146"/>
        <v>5</v>
      </c>
      <c r="BR138" s="108">
        <f t="shared" si="147"/>
        <v>5</v>
      </c>
      <c r="BS138" s="108">
        <f t="shared" si="148"/>
        <v>5</v>
      </c>
      <c r="BT138" s="108">
        <f t="shared" si="152"/>
        <v>100</v>
      </c>
    </row>
    <row r="139" spans="1:72" ht="25" customHeight="1" x14ac:dyDescent="0.3">
      <c r="A139" s="185"/>
      <c r="B139" s="116" t="s">
        <v>1047</v>
      </c>
      <c r="C139" s="126" t="s">
        <v>878</v>
      </c>
      <c r="D139" s="124" t="s">
        <v>323</v>
      </c>
      <c r="E139" s="116" t="s">
        <v>739</v>
      </c>
      <c r="F139" s="111">
        <v>7.3581408321600001</v>
      </c>
      <c r="G139" s="111">
        <v>134.54134747800001</v>
      </c>
      <c r="H139" s="295" t="s">
        <v>327</v>
      </c>
      <c r="I139" s="112" t="s">
        <v>421</v>
      </c>
      <c r="J139" s="112">
        <v>2019</v>
      </c>
      <c r="K139" s="295" t="s">
        <v>843</v>
      </c>
      <c r="L139" s="117">
        <v>948</v>
      </c>
      <c r="M139" s="118" t="s">
        <v>308</v>
      </c>
      <c r="N139" s="118" t="s">
        <v>298</v>
      </c>
      <c r="O139" s="118" t="s">
        <v>330</v>
      </c>
      <c r="P139" s="196" t="s">
        <v>322</v>
      </c>
      <c r="Q139" s="118" t="s">
        <v>309</v>
      </c>
      <c r="R139" s="154">
        <v>4</v>
      </c>
      <c r="S139" s="154">
        <v>3</v>
      </c>
      <c r="T139" s="154">
        <v>4</v>
      </c>
      <c r="U139" s="154">
        <v>5</v>
      </c>
      <c r="V139" s="154">
        <v>3</v>
      </c>
      <c r="W139" s="154">
        <v>3</v>
      </c>
      <c r="X139" s="154">
        <v>3</v>
      </c>
      <c r="Y139" s="154">
        <v>4</v>
      </c>
      <c r="Z139" s="154">
        <v>4</v>
      </c>
      <c r="AA139" s="154">
        <v>4</v>
      </c>
      <c r="AB139" s="296">
        <f t="shared" si="149"/>
        <v>73</v>
      </c>
      <c r="AC139" s="297">
        <f t="shared" si="118"/>
        <v>2370000</v>
      </c>
      <c r="AD139" s="301">
        <f t="shared" si="150"/>
        <v>11850</v>
      </c>
      <c r="AE139" s="298"/>
      <c r="AJ139" s="108">
        <f t="shared" si="120"/>
        <v>0</v>
      </c>
      <c r="AK139" s="108">
        <f t="shared" si="121"/>
        <v>0</v>
      </c>
      <c r="AL139" s="108">
        <f t="shared" si="122"/>
        <v>0</v>
      </c>
      <c r="AM139" s="108">
        <f t="shared" si="123"/>
        <v>0</v>
      </c>
      <c r="AN139" s="108">
        <f t="shared" si="124"/>
        <v>0</v>
      </c>
      <c r="AO139" s="108">
        <f t="shared" si="125"/>
        <v>0</v>
      </c>
      <c r="AP139" s="108">
        <f t="shared" si="126"/>
        <v>0</v>
      </c>
      <c r="AQ139" s="108">
        <f t="shared" si="127"/>
        <v>0</v>
      </c>
      <c r="AR139" s="108">
        <f t="shared" si="128"/>
        <v>0</v>
      </c>
      <c r="AX139" s="108">
        <f t="shared" si="129"/>
        <v>4</v>
      </c>
      <c r="AY139" s="108">
        <f t="shared" si="130"/>
        <v>3</v>
      </c>
      <c r="AZ139" s="108">
        <f t="shared" si="131"/>
        <v>4</v>
      </c>
      <c r="BA139" s="108">
        <f t="shared" si="132"/>
        <v>5</v>
      </c>
      <c r="BB139" s="108">
        <f t="shared" si="133"/>
        <v>3</v>
      </c>
      <c r="BC139" s="108">
        <f t="shared" si="134"/>
        <v>3</v>
      </c>
      <c r="BD139" s="108">
        <f t="shared" si="135"/>
        <v>3</v>
      </c>
      <c r="BE139" s="108">
        <f t="shared" si="136"/>
        <v>4</v>
      </c>
      <c r="BF139" s="108">
        <f t="shared" si="137"/>
        <v>4</v>
      </c>
      <c r="BG139" s="108">
        <f t="shared" si="138"/>
        <v>4</v>
      </c>
      <c r="BH139" s="108">
        <f t="shared" si="151"/>
        <v>73</v>
      </c>
      <c r="BJ139" s="108">
        <f t="shared" si="139"/>
        <v>5</v>
      </c>
      <c r="BK139" s="108">
        <f t="shared" si="140"/>
        <v>5</v>
      </c>
      <c r="BL139" s="108">
        <f t="shared" si="141"/>
        <v>5</v>
      </c>
      <c r="BM139" s="108">
        <f t="shared" si="142"/>
        <v>5</v>
      </c>
      <c r="BN139" s="108">
        <f t="shared" si="143"/>
        <v>5</v>
      </c>
      <c r="BO139" s="108">
        <f t="shared" si="144"/>
        <v>5</v>
      </c>
      <c r="BP139" s="108">
        <f t="shared" si="145"/>
        <v>5</v>
      </c>
      <c r="BQ139" s="108">
        <f t="shared" si="146"/>
        <v>5</v>
      </c>
      <c r="BR139" s="108">
        <f t="shared" si="147"/>
        <v>5</v>
      </c>
      <c r="BS139" s="108">
        <f t="shared" si="148"/>
        <v>5</v>
      </c>
      <c r="BT139" s="108">
        <f t="shared" si="152"/>
        <v>100</v>
      </c>
    </row>
    <row r="140" spans="1:72" ht="25" customHeight="1" x14ac:dyDescent="0.3">
      <c r="A140" s="185"/>
      <c r="B140" s="116" t="s">
        <v>1048</v>
      </c>
      <c r="C140" s="126" t="s">
        <v>879</v>
      </c>
      <c r="D140" s="124" t="s">
        <v>323</v>
      </c>
      <c r="E140" s="116" t="s">
        <v>739</v>
      </c>
      <c r="F140" s="111">
        <v>7.3581408321600001</v>
      </c>
      <c r="G140" s="111">
        <v>134.54134747800001</v>
      </c>
      <c r="H140" s="295" t="s">
        <v>327</v>
      </c>
      <c r="I140" s="112" t="s">
        <v>421</v>
      </c>
      <c r="J140" s="112" t="s">
        <v>848</v>
      </c>
      <c r="K140" s="295" t="s">
        <v>848</v>
      </c>
      <c r="L140" s="117">
        <v>268</v>
      </c>
      <c r="M140" s="118" t="s">
        <v>308</v>
      </c>
      <c r="N140" s="118" t="s">
        <v>298</v>
      </c>
      <c r="O140" s="118" t="s">
        <v>330</v>
      </c>
      <c r="P140" s="196" t="s">
        <v>322</v>
      </c>
      <c r="Q140" s="118" t="s">
        <v>309</v>
      </c>
      <c r="R140" s="154">
        <v>3</v>
      </c>
      <c r="S140" s="154">
        <v>3</v>
      </c>
      <c r="T140" s="154">
        <v>3</v>
      </c>
      <c r="U140" s="154">
        <v>2</v>
      </c>
      <c r="V140" s="154">
        <v>4</v>
      </c>
      <c r="W140" s="154">
        <v>4</v>
      </c>
      <c r="X140" s="154">
        <v>2</v>
      </c>
      <c r="Y140" s="154">
        <v>2</v>
      </c>
      <c r="Z140" s="154">
        <v>4</v>
      </c>
      <c r="AA140" s="154">
        <v>4</v>
      </c>
      <c r="AB140" s="296">
        <f t="shared" si="149"/>
        <v>64</v>
      </c>
      <c r="AC140" s="297">
        <f t="shared" si="118"/>
        <v>670000</v>
      </c>
      <c r="AD140" s="301">
        <f t="shared" si="150"/>
        <v>3350</v>
      </c>
      <c r="AE140" s="298"/>
      <c r="AJ140" s="108">
        <f t="shared" si="120"/>
        <v>0</v>
      </c>
      <c r="AK140" s="108">
        <f t="shared" si="121"/>
        <v>0</v>
      </c>
      <c r="AL140" s="108">
        <f t="shared" si="122"/>
        <v>0</v>
      </c>
      <c r="AM140" s="108">
        <f t="shared" si="123"/>
        <v>268</v>
      </c>
      <c r="AN140" s="108">
        <f t="shared" si="124"/>
        <v>0</v>
      </c>
      <c r="AO140" s="108">
        <f t="shared" si="125"/>
        <v>0</v>
      </c>
      <c r="AP140" s="108">
        <f t="shared" si="126"/>
        <v>268</v>
      </c>
      <c r="AQ140" s="108">
        <f t="shared" si="127"/>
        <v>268</v>
      </c>
      <c r="AR140" s="108">
        <f t="shared" si="128"/>
        <v>0</v>
      </c>
      <c r="AX140" s="108">
        <f t="shared" si="129"/>
        <v>3</v>
      </c>
      <c r="AY140" s="108">
        <f t="shared" si="130"/>
        <v>3</v>
      </c>
      <c r="AZ140" s="108">
        <f t="shared" si="131"/>
        <v>3</v>
      </c>
      <c r="BA140" s="108">
        <f t="shared" si="132"/>
        <v>2</v>
      </c>
      <c r="BB140" s="108">
        <f t="shared" si="133"/>
        <v>4</v>
      </c>
      <c r="BC140" s="108">
        <f t="shared" si="134"/>
        <v>4</v>
      </c>
      <c r="BD140" s="108">
        <f t="shared" si="135"/>
        <v>2</v>
      </c>
      <c r="BE140" s="108">
        <f t="shared" si="136"/>
        <v>2</v>
      </c>
      <c r="BF140" s="108">
        <f t="shared" si="137"/>
        <v>4</v>
      </c>
      <c r="BG140" s="108">
        <f t="shared" si="138"/>
        <v>4</v>
      </c>
      <c r="BH140" s="108">
        <f t="shared" si="151"/>
        <v>64</v>
      </c>
      <c r="BJ140" s="108">
        <f t="shared" si="139"/>
        <v>5</v>
      </c>
      <c r="BK140" s="108">
        <f t="shared" si="140"/>
        <v>5</v>
      </c>
      <c r="BL140" s="108">
        <f t="shared" si="141"/>
        <v>5</v>
      </c>
      <c r="BM140" s="108">
        <f t="shared" si="142"/>
        <v>5</v>
      </c>
      <c r="BN140" s="108">
        <f t="shared" si="143"/>
        <v>5</v>
      </c>
      <c r="BO140" s="108">
        <f t="shared" si="144"/>
        <v>5</v>
      </c>
      <c r="BP140" s="108">
        <f t="shared" si="145"/>
        <v>5</v>
      </c>
      <c r="BQ140" s="108">
        <f t="shared" si="146"/>
        <v>5</v>
      </c>
      <c r="BR140" s="108">
        <f t="shared" si="147"/>
        <v>5</v>
      </c>
      <c r="BS140" s="108">
        <f t="shared" si="148"/>
        <v>5</v>
      </c>
      <c r="BT140" s="108">
        <f t="shared" si="152"/>
        <v>100</v>
      </c>
    </row>
    <row r="141" spans="1:72" ht="25" customHeight="1" x14ac:dyDescent="0.3">
      <c r="A141" s="185"/>
      <c r="B141" s="116" t="s">
        <v>1049</v>
      </c>
      <c r="C141" s="126" t="s">
        <v>880</v>
      </c>
      <c r="D141" s="124" t="s">
        <v>323</v>
      </c>
      <c r="E141" s="116" t="s">
        <v>739</v>
      </c>
      <c r="F141" s="111">
        <v>7.3581408321600001</v>
      </c>
      <c r="G141" s="111">
        <v>134.54134747800001</v>
      </c>
      <c r="H141" s="295" t="s">
        <v>327</v>
      </c>
      <c r="I141" s="112" t="s">
        <v>421</v>
      </c>
      <c r="J141" s="112">
        <v>2019</v>
      </c>
      <c r="K141" s="295" t="s">
        <v>324</v>
      </c>
      <c r="L141" s="117">
        <v>156</v>
      </c>
      <c r="M141" s="118" t="s">
        <v>308</v>
      </c>
      <c r="N141" s="118" t="s">
        <v>298</v>
      </c>
      <c r="O141" s="118" t="s">
        <v>330</v>
      </c>
      <c r="P141" s="196" t="s">
        <v>322</v>
      </c>
      <c r="Q141" s="118" t="s">
        <v>309</v>
      </c>
      <c r="R141" s="154">
        <v>3</v>
      </c>
      <c r="S141" s="154">
        <v>3</v>
      </c>
      <c r="T141" s="154">
        <v>2</v>
      </c>
      <c r="U141" s="154">
        <v>2</v>
      </c>
      <c r="V141" s="154">
        <v>5</v>
      </c>
      <c r="W141" s="154">
        <v>4</v>
      </c>
      <c r="X141" s="154">
        <v>5</v>
      </c>
      <c r="Y141" s="154" t="s">
        <v>92</v>
      </c>
      <c r="Z141" s="154">
        <v>5</v>
      </c>
      <c r="AA141" s="154">
        <v>5</v>
      </c>
      <c r="AB141" s="296">
        <f t="shared" si="149"/>
        <v>72.631578947368425</v>
      </c>
      <c r="AC141" s="297">
        <f t="shared" si="118"/>
        <v>390000</v>
      </c>
      <c r="AD141" s="301">
        <f t="shared" si="150"/>
        <v>1950</v>
      </c>
      <c r="AE141" s="298"/>
      <c r="AJ141" s="108">
        <f t="shared" si="120"/>
        <v>0</v>
      </c>
      <c r="AK141" s="108">
        <f t="shared" si="121"/>
        <v>0</v>
      </c>
      <c r="AL141" s="108">
        <f t="shared" si="122"/>
        <v>156</v>
      </c>
      <c r="AM141" s="108">
        <f t="shared" si="123"/>
        <v>156</v>
      </c>
      <c r="AN141" s="108">
        <f t="shared" si="124"/>
        <v>0</v>
      </c>
      <c r="AO141" s="108">
        <f t="shared" si="125"/>
        <v>0</v>
      </c>
      <c r="AP141" s="108">
        <f t="shared" si="126"/>
        <v>0</v>
      </c>
      <c r="AQ141" s="108">
        <f t="shared" si="127"/>
        <v>0</v>
      </c>
      <c r="AR141" s="108">
        <f t="shared" si="128"/>
        <v>0</v>
      </c>
      <c r="AX141" s="108">
        <f t="shared" si="129"/>
        <v>3</v>
      </c>
      <c r="AY141" s="108">
        <f t="shared" si="130"/>
        <v>3</v>
      </c>
      <c r="AZ141" s="108">
        <f t="shared" si="131"/>
        <v>2</v>
      </c>
      <c r="BA141" s="108">
        <f t="shared" si="132"/>
        <v>2</v>
      </c>
      <c r="BB141" s="108">
        <f t="shared" si="133"/>
        <v>5</v>
      </c>
      <c r="BC141" s="108">
        <f t="shared" si="134"/>
        <v>4</v>
      </c>
      <c r="BD141" s="108">
        <f t="shared" si="135"/>
        <v>5</v>
      </c>
      <c r="BE141" s="108">
        <f t="shared" si="136"/>
        <v>0</v>
      </c>
      <c r="BF141" s="108">
        <f t="shared" si="137"/>
        <v>5</v>
      </c>
      <c r="BG141" s="108">
        <f t="shared" si="138"/>
        <v>5</v>
      </c>
      <c r="BH141" s="108">
        <f t="shared" si="151"/>
        <v>69</v>
      </c>
      <c r="BJ141" s="108">
        <f t="shared" si="139"/>
        <v>5</v>
      </c>
      <c r="BK141" s="108">
        <f t="shared" si="140"/>
        <v>5</v>
      </c>
      <c r="BL141" s="108">
        <f t="shared" si="141"/>
        <v>5</v>
      </c>
      <c r="BM141" s="108">
        <f t="shared" si="142"/>
        <v>5</v>
      </c>
      <c r="BN141" s="108">
        <f t="shared" si="143"/>
        <v>5</v>
      </c>
      <c r="BO141" s="108">
        <f t="shared" si="144"/>
        <v>5</v>
      </c>
      <c r="BP141" s="108">
        <f t="shared" si="145"/>
        <v>5</v>
      </c>
      <c r="BQ141" s="108">
        <f t="shared" si="146"/>
        <v>0</v>
      </c>
      <c r="BR141" s="108">
        <f t="shared" si="147"/>
        <v>5</v>
      </c>
      <c r="BS141" s="108">
        <f t="shared" si="148"/>
        <v>5</v>
      </c>
      <c r="BT141" s="108">
        <f t="shared" si="152"/>
        <v>95</v>
      </c>
    </row>
    <row r="142" spans="1:72" ht="25" customHeight="1" x14ac:dyDescent="0.3">
      <c r="A142" s="185"/>
      <c r="B142" s="116" t="s">
        <v>1050</v>
      </c>
      <c r="C142" s="126" t="s">
        <v>881</v>
      </c>
      <c r="D142" s="124" t="s">
        <v>323</v>
      </c>
      <c r="E142" s="116" t="s">
        <v>882</v>
      </c>
      <c r="F142" s="111">
        <v>7.3495784126199997</v>
      </c>
      <c r="G142" s="111">
        <v>134.48753381099999</v>
      </c>
      <c r="H142" s="295" t="s">
        <v>327</v>
      </c>
      <c r="I142" s="334" t="s">
        <v>859</v>
      </c>
      <c r="J142" s="112">
        <v>2019</v>
      </c>
      <c r="K142" s="295" t="s">
        <v>843</v>
      </c>
      <c r="L142" s="117">
        <v>725</v>
      </c>
      <c r="M142" s="118" t="s">
        <v>308</v>
      </c>
      <c r="N142" s="118" t="s">
        <v>298</v>
      </c>
      <c r="O142" s="118" t="s">
        <v>330</v>
      </c>
      <c r="P142" s="196" t="s">
        <v>322</v>
      </c>
      <c r="Q142" s="118" t="s">
        <v>309</v>
      </c>
      <c r="R142" s="154">
        <v>3</v>
      </c>
      <c r="S142" s="154">
        <v>3</v>
      </c>
      <c r="T142" s="154">
        <v>3</v>
      </c>
      <c r="U142" s="154">
        <v>5</v>
      </c>
      <c r="V142" s="154">
        <v>4</v>
      </c>
      <c r="W142" s="154">
        <v>4</v>
      </c>
      <c r="X142" s="154">
        <v>2</v>
      </c>
      <c r="Y142" s="154">
        <v>3</v>
      </c>
      <c r="Z142" s="154">
        <v>3</v>
      </c>
      <c r="AA142" s="154">
        <v>3</v>
      </c>
      <c r="AB142" s="296">
        <f t="shared" si="149"/>
        <v>63</v>
      </c>
      <c r="AC142" s="297">
        <f t="shared" si="118"/>
        <v>1812500</v>
      </c>
      <c r="AD142" s="301">
        <f t="shared" si="150"/>
        <v>9062.5</v>
      </c>
      <c r="AE142" s="298"/>
      <c r="AJ142" s="108">
        <f t="shared" si="120"/>
        <v>0</v>
      </c>
      <c r="AK142" s="108">
        <f t="shared" si="121"/>
        <v>0</v>
      </c>
      <c r="AL142" s="108">
        <f t="shared" si="122"/>
        <v>0</v>
      </c>
      <c r="AM142" s="108">
        <f t="shared" si="123"/>
        <v>0</v>
      </c>
      <c r="AN142" s="108">
        <f t="shared" si="124"/>
        <v>0</v>
      </c>
      <c r="AO142" s="108">
        <f t="shared" si="125"/>
        <v>0</v>
      </c>
      <c r="AP142" s="108">
        <f t="shared" si="126"/>
        <v>725</v>
      </c>
      <c r="AQ142" s="108">
        <f t="shared" si="127"/>
        <v>0</v>
      </c>
      <c r="AR142" s="108">
        <f t="shared" si="128"/>
        <v>0</v>
      </c>
      <c r="AX142" s="108">
        <f t="shared" si="129"/>
        <v>3</v>
      </c>
      <c r="AY142" s="108">
        <f t="shared" si="130"/>
        <v>3</v>
      </c>
      <c r="AZ142" s="108">
        <f t="shared" si="131"/>
        <v>3</v>
      </c>
      <c r="BA142" s="108">
        <f t="shared" si="132"/>
        <v>5</v>
      </c>
      <c r="BB142" s="108">
        <f t="shared" si="133"/>
        <v>4</v>
      </c>
      <c r="BC142" s="108">
        <f t="shared" si="134"/>
        <v>4</v>
      </c>
      <c r="BD142" s="108">
        <f t="shared" si="135"/>
        <v>2</v>
      </c>
      <c r="BE142" s="108">
        <f t="shared" si="136"/>
        <v>3</v>
      </c>
      <c r="BF142" s="108">
        <f t="shared" si="137"/>
        <v>3</v>
      </c>
      <c r="BG142" s="108">
        <f t="shared" si="138"/>
        <v>3</v>
      </c>
      <c r="BH142" s="108">
        <f t="shared" si="151"/>
        <v>63</v>
      </c>
      <c r="BJ142" s="108">
        <f t="shared" si="139"/>
        <v>5</v>
      </c>
      <c r="BK142" s="108">
        <f t="shared" si="140"/>
        <v>5</v>
      </c>
      <c r="BL142" s="108">
        <f t="shared" si="141"/>
        <v>5</v>
      </c>
      <c r="BM142" s="108">
        <f t="shared" si="142"/>
        <v>5</v>
      </c>
      <c r="BN142" s="108">
        <f t="shared" si="143"/>
        <v>5</v>
      </c>
      <c r="BO142" s="108">
        <f t="shared" si="144"/>
        <v>5</v>
      </c>
      <c r="BP142" s="108">
        <f t="shared" si="145"/>
        <v>5</v>
      </c>
      <c r="BQ142" s="108">
        <f t="shared" si="146"/>
        <v>5</v>
      </c>
      <c r="BR142" s="108">
        <f t="shared" si="147"/>
        <v>5</v>
      </c>
      <c r="BS142" s="108">
        <f t="shared" si="148"/>
        <v>5</v>
      </c>
      <c r="BT142" s="108">
        <f t="shared" si="152"/>
        <v>100</v>
      </c>
    </row>
    <row r="143" spans="1:72" ht="25" customHeight="1" x14ac:dyDescent="0.3">
      <c r="A143" s="185"/>
      <c r="B143" s="116" t="s">
        <v>1051</v>
      </c>
      <c r="C143" s="126" t="s">
        <v>883</v>
      </c>
      <c r="D143" s="124" t="s">
        <v>323</v>
      </c>
      <c r="E143" s="116" t="s">
        <v>882</v>
      </c>
      <c r="F143" s="111">
        <v>7.3495784126199997</v>
      </c>
      <c r="G143" s="111">
        <v>134.48753381099999</v>
      </c>
      <c r="H143" s="295" t="s">
        <v>327</v>
      </c>
      <c r="I143" s="334" t="s">
        <v>859</v>
      </c>
      <c r="J143" s="112">
        <v>2019</v>
      </c>
      <c r="K143" s="295" t="s">
        <v>843</v>
      </c>
      <c r="L143" s="117">
        <v>268</v>
      </c>
      <c r="M143" s="118" t="s">
        <v>308</v>
      </c>
      <c r="N143" s="118" t="s">
        <v>298</v>
      </c>
      <c r="O143" s="118" t="s">
        <v>330</v>
      </c>
      <c r="P143" s="196" t="s">
        <v>322</v>
      </c>
      <c r="Q143" s="118" t="s">
        <v>309</v>
      </c>
      <c r="R143" s="154">
        <v>3</v>
      </c>
      <c r="S143" s="154">
        <v>3</v>
      </c>
      <c r="T143" s="154">
        <v>3</v>
      </c>
      <c r="U143" s="154">
        <v>5</v>
      </c>
      <c r="V143" s="154">
        <v>4</v>
      </c>
      <c r="W143" s="154">
        <v>4</v>
      </c>
      <c r="X143" s="154" t="s">
        <v>92</v>
      </c>
      <c r="Y143" s="154" t="s">
        <v>92</v>
      </c>
      <c r="Z143" s="154">
        <v>4</v>
      </c>
      <c r="AA143" s="154">
        <v>4</v>
      </c>
      <c r="AB143" s="296">
        <f t="shared" si="149"/>
        <v>70</v>
      </c>
      <c r="AC143" s="297">
        <f t="shared" si="118"/>
        <v>670000</v>
      </c>
      <c r="AD143" s="301">
        <f t="shared" si="150"/>
        <v>3350</v>
      </c>
      <c r="AE143" s="298"/>
      <c r="AJ143" s="108">
        <f t="shared" si="120"/>
        <v>0</v>
      </c>
      <c r="AK143" s="108">
        <f t="shared" si="121"/>
        <v>0</v>
      </c>
      <c r="AL143" s="108">
        <f t="shared" si="122"/>
        <v>0</v>
      </c>
      <c r="AM143" s="108">
        <f t="shared" si="123"/>
        <v>0</v>
      </c>
      <c r="AN143" s="108">
        <f t="shared" si="124"/>
        <v>0</v>
      </c>
      <c r="AO143" s="108">
        <f t="shared" si="125"/>
        <v>0</v>
      </c>
      <c r="AP143" s="108">
        <f t="shared" si="126"/>
        <v>0</v>
      </c>
      <c r="AQ143" s="108">
        <f t="shared" si="127"/>
        <v>0</v>
      </c>
      <c r="AR143" s="108">
        <f t="shared" si="128"/>
        <v>0</v>
      </c>
      <c r="AX143" s="108">
        <f t="shared" si="129"/>
        <v>3</v>
      </c>
      <c r="AY143" s="108">
        <f t="shared" si="130"/>
        <v>3</v>
      </c>
      <c r="AZ143" s="108">
        <f t="shared" si="131"/>
        <v>3</v>
      </c>
      <c r="BA143" s="108">
        <f t="shared" si="132"/>
        <v>5</v>
      </c>
      <c r="BB143" s="108">
        <f t="shared" si="133"/>
        <v>4</v>
      </c>
      <c r="BC143" s="108">
        <f t="shared" si="134"/>
        <v>4</v>
      </c>
      <c r="BD143" s="108">
        <f t="shared" si="135"/>
        <v>0</v>
      </c>
      <c r="BE143" s="108">
        <f t="shared" si="136"/>
        <v>0</v>
      </c>
      <c r="BF143" s="108">
        <f t="shared" si="137"/>
        <v>4</v>
      </c>
      <c r="BG143" s="108">
        <f t="shared" si="138"/>
        <v>4</v>
      </c>
      <c r="BH143" s="108">
        <f t="shared" si="151"/>
        <v>63</v>
      </c>
      <c r="BJ143" s="108">
        <f t="shared" si="139"/>
        <v>5</v>
      </c>
      <c r="BK143" s="108">
        <f t="shared" si="140"/>
        <v>5</v>
      </c>
      <c r="BL143" s="108">
        <f t="shared" si="141"/>
        <v>5</v>
      </c>
      <c r="BM143" s="108">
        <f t="shared" si="142"/>
        <v>5</v>
      </c>
      <c r="BN143" s="108">
        <f t="shared" si="143"/>
        <v>5</v>
      </c>
      <c r="BO143" s="108">
        <f t="shared" si="144"/>
        <v>5</v>
      </c>
      <c r="BP143" s="108">
        <f t="shared" si="145"/>
        <v>0</v>
      </c>
      <c r="BQ143" s="108">
        <f t="shared" si="146"/>
        <v>0</v>
      </c>
      <c r="BR143" s="108">
        <f t="shared" si="147"/>
        <v>5</v>
      </c>
      <c r="BS143" s="108">
        <f t="shared" si="148"/>
        <v>5</v>
      </c>
      <c r="BT143" s="108">
        <f t="shared" si="152"/>
        <v>90</v>
      </c>
    </row>
    <row r="144" spans="1:72" ht="25" customHeight="1" x14ac:dyDescent="0.3">
      <c r="A144" s="185"/>
      <c r="B144" s="116" t="s">
        <v>1052</v>
      </c>
      <c r="C144" s="126" t="s">
        <v>884</v>
      </c>
      <c r="D144" s="124" t="s">
        <v>323</v>
      </c>
      <c r="E144" s="116" t="s">
        <v>882</v>
      </c>
      <c r="F144" s="111">
        <v>7.3495784126199997</v>
      </c>
      <c r="G144" s="111">
        <v>134.48753381099999</v>
      </c>
      <c r="H144" s="295" t="s">
        <v>874</v>
      </c>
      <c r="I144" s="334" t="s">
        <v>859</v>
      </c>
      <c r="J144" s="112" t="s">
        <v>848</v>
      </c>
      <c r="K144" s="295" t="s">
        <v>848</v>
      </c>
      <c r="L144" s="117">
        <v>223</v>
      </c>
      <c r="M144" s="118" t="s">
        <v>308</v>
      </c>
      <c r="N144" s="118" t="s">
        <v>298</v>
      </c>
      <c r="O144" s="118" t="s">
        <v>330</v>
      </c>
      <c r="P144" s="196" t="s">
        <v>322</v>
      </c>
      <c r="Q144" s="118" t="s">
        <v>309</v>
      </c>
      <c r="R144" s="154">
        <v>4</v>
      </c>
      <c r="S144" s="154">
        <v>5</v>
      </c>
      <c r="T144" s="154">
        <v>4</v>
      </c>
      <c r="U144" s="154">
        <v>2</v>
      </c>
      <c r="V144" s="154">
        <v>5</v>
      </c>
      <c r="W144" s="154">
        <v>4</v>
      </c>
      <c r="X144" s="154">
        <v>2</v>
      </c>
      <c r="Y144" s="154">
        <v>3</v>
      </c>
      <c r="Z144" s="154">
        <v>4</v>
      </c>
      <c r="AA144" s="154">
        <v>4</v>
      </c>
      <c r="AB144" s="296">
        <f t="shared" si="149"/>
        <v>81</v>
      </c>
      <c r="AC144" s="297">
        <f t="shared" si="118"/>
        <v>557500</v>
      </c>
      <c r="AD144" s="301">
        <f t="shared" si="150"/>
        <v>2787.5</v>
      </c>
      <c r="AE144" s="298"/>
      <c r="AJ144" s="108">
        <f t="shared" si="120"/>
        <v>0</v>
      </c>
      <c r="AK144" s="108">
        <f t="shared" si="121"/>
        <v>0</v>
      </c>
      <c r="AL144" s="108">
        <f t="shared" si="122"/>
        <v>0</v>
      </c>
      <c r="AM144" s="108">
        <f t="shared" si="123"/>
        <v>223</v>
      </c>
      <c r="AN144" s="108">
        <f t="shared" si="124"/>
        <v>0</v>
      </c>
      <c r="AO144" s="108">
        <f t="shared" si="125"/>
        <v>0</v>
      </c>
      <c r="AP144" s="108">
        <f t="shared" si="126"/>
        <v>223</v>
      </c>
      <c r="AQ144" s="108">
        <f t="shared" si="127"/>
        <v>0</v>
      </c>
      <c r="AR144" s="108">
        <f t="shared" si="128"/>
        <v>0</v>
      </c>
      <c r="AX144" s="108">
        <f t="shared" si="129"/>
        <v>4</v>
      </c>
      <c r="AY144" s="108">
        <f t="shared" si="130"/>
        <v>5</v>
      </c>
      <c r="AZ144" s="108">
        <f t="shared" si="131"/>
        <v>4</v>
      </c>
      <c r="BA144" s="108">
        <f t="shared" si="132"/>
        <v>2</v>
      </c>
      <c r="BB144" s="108">
        <f t="shared" si="133"/>
        <v>5</v>
      </c>
      <c r="BC144" s="108">
        <f t="shared" si="134"/>
        <v>4</v>
      </c>
      <c r="BD144" s="108">
        <f t="shared" si="135"/>
        <v>2</v>
      </c>
      <c r="BE144" s="108">
        <f t="shared" si="136"/>
        <v>3</v>
      </c>
      <c r="BF144" s="108">
        <f t="shared" si="137"/>
        <v>4</v>
      </c>
      <c r="BG144" s="108">
        <f t="shared" si="138"/>
        <v>4</v>
      </c>
      <c r="BH144" s="108">
        <f t="shared" si="151"/>
        <v>81</v>
      </c>
      <c r="BJ144" s="108">
        <f t="shared" si="139"/>
        <v>5</v>
      </c>
      <c r="BK144" s="108">
        <f t="shared" si="140"/>
        <v>5</v>
      </c>
      <c r="BL144" s="108">
        <f t="shared" si="141"/>
        <v>5</v>
      </c>
      <c r="BM144" s="108">
        <f t="shared" si="142"/>
        <v>5</v>
      </c>
      <c r="BN144" s="108">
        <f t="shared" si="143"/>
        <v>5</v>
      </c>
      <c r="BO144" s="108">
        <f t="shared" si="144"/>
        <v>5</v>
      </c>
      <c r="BP144" s="108">
        <f t="shared" si="145"/>
        <v>5</v>
      </c>
      <c r="BQ144" s="108">
        <f t="shared" si="146"/>
        <v>5</v>
      </c>
      <c r="BR144" s="108">
        <f t="shared" si="147"/>
        <v>5</v>
      </c>
      <c r="BS144" s="108">
        <f t="shared" si="148"/>
        <v>5</v>
      </c>
      <c r="BT144" s="108">
        <f t="shared" si="152"/>
        <v>100</v>
      </c>
    </row>
    <row r="145" spans="1:72" ht="25" customHeight="1" x14ac:dyDescent="0.3">
      <c r="A145" s="185"/>
      <c r="B145" s="116" t="s">
        <v>1053</v>
      </c>
      <c r="C145" s="126" t="s">
        <v>885</v>
      </c>
      <c r="D145" s="124" t="s">
        <v>323</v>
      </c>
      <c r="E145" s="116" t="s">
        <v>882</v>
      </c>
      <c r="F145" s="111">
        <v>7.3495784126199997</v>
      </c>
      <c r="G145" s="111">
        <v>134.48753381099999</v>
      </c>
      <c r="H145" s="295" t="s">
        <v>874</v>
      </c>
      <c r="I145" s="334" t="s">
        <v>859</v>
      </c>
      <c r="J145" s="112" t="s">
        <v>848</v>
      </c>
      <c r="K145" s="295" t="s">
        <v>848</v>
      </c>
      <c r="L145" s="117">
        <v>223</v>
      </c>
      <c r="M145" s="118" t="s">
        <v>308</v>
      </c>
      <c r="N145" s="118" t="s">
        <v>298</v>
      </c>
      <c r="O145" s="118" t="s">
        <v>330</v>
      </c>
      <c r="P145" s="196" t="s">
        <v>322</v>
      </c>
      <c r="Q145" s="118" t="s">
        <v>309</v>
      </c>
      <c r="R145" s="154">
        <v>4</v>
      </c>
      <c r="S145" s="154">
        <v>5</v>
      </c>
      <c r="T145" s="154">
        <v>4</v>
      </c>
      <c r="U145" s="154">
        <v>2</v>
      </c>
      <c r="V145" s="154">
        <v>5</v>
      </c>
      <c r="W145" s="154">
        <v>4</v>
      </c>
      <c r="X145" s="154">
        <v>2</v>
      </c>
      <c r="Y145" s="154" t="s">
        <v>92</v>
      </c>
      <c r="Z145" s="154">
        <v>4</v>
      </c>
      <c r="AA145" s="154">
        <v>4</v>
      </c>
      <c r="AB145" s="296">
        <f t="shared" si="149"/>
        <v>82.10526315789474</v>
      </c>
      <c r="AC145" s="297">
        <f t="shared" si="118"/>
        <v>557500</v>
      </c>
      <c r="AD145" s="301">
        <f t="shared" si="150"/>
        <v>2787.5</v>
      </c>
      <c r="AE145" s="298"/>
      <c r="AJ145" s="108">
        <f t="shared" si="120"/>
        <v>0</v>
      </c>
      <c r="AK145" s="108">
        <f t="shared" si="121"/>
        <v>0</v>
      </c>
      <c r="AL145" s="108">
        <f t="shared" si="122"/>
        <v>0</v>
      </c>
      <c r="AM145" s="108">
        <f t="shared" si="123"/>
        <v>223</v>
      </c>
      <c r="AN145" s="108">
        <f t="shared" si="124"/>
        <v>0</v>
      </c>
      <c r="AO145" s="108">
        <f t="shared" si="125"/>
        <v>0</v>
      </c>
      <c r="AP145" s="108">
        <f t="shared" si="126"/>
        <v>223</v>
      </c>
      <c r="AQ145" s="108">
        <f t="shared" si="127"/>
        <v>0</v>
      </c>
      <c r="AR145" s="108">
        <f t="shared" si="128"/>
        <v>0</v>
      </c>
      <c r="AX145" s="108">
        <f t="shared" si="129"/>
        <v>4</v>
      </c>
      <c r="AY145" s="108">
        <f t="shared" si="130"/>
        <v>5</v>
      </c>
      <c r="AZ145" s="108">
        <f t="shared" si="131"/>
        <v>4</v>
      </c>
      <c r="BA145" s="108">
        <f t="shared" si="132"/>
        <v>2</v>
      </c>
      <c r="BB145" s="108">
        <f t="shared" si="133"/>
        <v>5</v>
      </c>
      <c r="BC145" s="108">
        <f t="shared" si="134"/>
        <v>4</v>
      </c>
      <c r="BD145" s="108">
        <f t="shared" si="135"/>
        <v>2</v>
      </c>
      <c r="BE145" s="108">
        <f t="shared" si="136"/>
        <v>0</v>
      </c>
      <c r="BF145" s="108">
        <f t="shared" si="137"/>
        <v>4</v>
      </c>
      <c r="BG145" s="108">
        <f t="shared" si="138"/>
        <v>4</v>
      </c>
      <c r="BH145" s="108">
        <f t="shared" si="151"/>
        <v>78</v>
      </c>
      <c r="BJ145" s="108">
        <f t="shared" si="139"/>
        <v>5</v>
      </c>
      <c r="BK145" s="108">
        <f t="shared" si="140"/>
        <v>5</v>
      </c>
      <c r="BL145" s="108">
        <f t="shared" si="141"/>
        <v>5</v>
      </c>
      <c r="BM145" s="108">
        <f t="shared" si="142"/>
        <v>5</v>
      </c>
      <c r="BN145" s="108">
        <f t="shared" si="143"/>
        <v>5</v>
      </c>
      <c r="BO145" s="108">
        <f t="shared" si="144"/>
        <v>5</v>
      </c>
      <c r="BP145" s="108">
        <f t="shared" si="145"/>
        <v>5</v>
      </c>
      <c r="BQ145" s="108">
        <f t="shared" si="146"/>
        <v>0</v>
      </c>
      <c r="BR145" s="108">
        <f t="shared" si="147"/>
        <v>5</v>
      </c>
      <c r="BS145" s="108">
        <f t="shared" si="148"/>
        <v>5</v>
      </c>
      <c r="BT145" s="108">
        <f t="shared" si="152"/>
        <v>95</v>
      </c>
    </row>
    <row r="146" spans="1:72" ht="25" customHeight="1" x14ac:dyDescent="0.3">
      <c r="A146" s="185"/>
      <c r="B146" s="116" t="s">
        <v>1054</v>
      </c>
      <c r="C146" s="126" t="s">
        <v>886</v>
      </c>
      <c r="D146" s="124" t="s">
        <v>323</v>
      </c>
      <c r="E146" s="116" t="s">
        <v>882</v>
      </c>
      <c r="F146" s="111">
        <v>7.3495784126199997</v>
      </c>
      <c r="G146" s="111">
        <v>134.48753381099999</v>
      </c>
      <c r="H146" s="295" t="s">
        <v>327</v>
      </c>
      <c r="I146" s="334" t="s">
        <v>859</v>
      </c>
      <c r="J146" s="112" t="s">
        <v>848</v>
      </c>
      <c r="K146" s="295" t="s">
        <v>848</v>
      </c>
      <c r="L146" s="117">
        <v>190</v>
      </c>
      <c r="M146" s="118" t="s">
        <v>308</v>
      </c>
      <c r="N146" s="118" t="s">
        <v>298</v>
      </c>
      <c r="O146" s="118" t="s">
        <v>330</v>
      </c>
      <c r="P146" s="196" t="s">
        <v>322</v>
      </c>
      <c r="Q146" s="118" t="s">
        <v>309</v>
      </c>
      <c r="R146" s="154">
        <v>4</v>
      </c>
      <c r="S146" s="154">
        <v>4</v>
      </c>
      <c r="T146" s="154">
        <v>4</v>
      </c>
      <c r="U146" s="154">
        <v>2</v>
      </c>
      <c r="V146" s="154">
        <v>4</v>
      </c>
      <c r="W146" s="154">
        <v>4</v>
      </c>
      <c r="X146" s="154" t="s">
        <v>92</v>
      </c>
      <c r="Y146" s="154" t="s">
        <v>92</v>
      </c>
      <c r="Z146" s="154">
        <v>4</v>
      </c>
      <c r="AA146" s="154">
        <v>4</v>
      </c>
      <c r="AB146" s="296">
        <f t="shared" si="149"/>
        <v>77.777777777777786</v>
      </c>
      <c r="AC146" s="297">
        <f t="shared" si="118"/>
        <v>475000</v>
      </c>
      <c r="AD146" s="301">
        <f t="shared" si="150"/>
        <v>2375</v>
      </c>
      <c r="AE146" s="298"/>
      <c r="AJ146" s="108">
        <f t="shared" si="120"/>
        <v>0</v>
      </c>
      <c r="AK146" s="108">
        <f t="shared" si="121"/>
        <v>0</v>
      </c>
      <c r="AL146" s="108">
        <f t="shared" si="122"/>
        <v>0</v>
      </c>
      <c r="AM146" s="108">
        <f t="shared" si="123"/>
        <v>190</v>
      </c>
      <c r="AN146" s="108">
        <f t="shared" si="124"/>
        <v>0</v>
      </c>
      <c r="AO146" s="108">
        <f t="shared" si="125"/>
        <v>0</v>
      </c>
      <c r="AP146" s="108">
        <f t="shared" si="126"/>
        <v>0</v>
      </c>
      <c r="AQ146" s="108">
        <f t="shared" si="127"/>
        <v>0</v>
      </c>
      <c r="AR146" s="108">
        <f t="shared" si="128"/>
        <v>0</v>
      </c>
      <c r="AX146" s="108">
        <f t="shared" si="129"/>
        <v>4</v>
      </c>
      <c r="AY146" s="108">
        <f t="shared" si="130"/>
        <v>4</v>
      </c>
      <c r="AZ146" s="108">
        <f t="shared" si="131"/>
        <v>4</v>
      </c>
      <c r="BA146" s="108">
        <f t="shared" si="132"/>
        <v>2</v>
      </c>
      <c r="BB146" s="108">
        <f t="shared" si="133"/>
        <v>4</v>
      </c>
      <c r="BC146" s="108">
        <f t="shared" si="134"/>
        <v>4</v>
      </c>
      <c r="BD146" s="108">
        <f t="shared" si="135"/>
        <v>0</v>
      </c>
      <c r="BE146" s="108">
        <f t="shared" si="136"/>
        <v>0</v>
      </c>
      <c r="BF146" s="108">
        <f t="shared" si="137"/>
        <v>4</v>
      </c>
      <c r="BG146" s="108">
        <f t="shared" si="138"/>
        <v>4</v>
      </c>
      <c r="BH146" s="108">
        <f t="shared" si="151"/>
        <v>70</v>
      </c>
      <c r="BJ146" s="108">
        <f t="shared" si="139"/>
        <v>5</v>
      </c>
      <c r="BK146" s="108">
        <f t="shared" si="140"/>
        <v>5</v>
      </c>
      <c r="BL146" s="108">
        <f t="shared" si="141"/>
        <v>5</v>
      </c>
      <c r="BM146" s="108">
        <f t="shared" si="142"/>
        <v>5</v>
      </c>
      <c r="BN146" s="108">
        <f t="shared" si="143"/>
        <v>5</v>
      </c>
      <c r="BO146" s="108">
        <f t="shared" si="144"/>
        <v>5</v>
      </c>
      <c r="BP146" s="108">
        <f t="shared" si="145"/>
        <v>0</v>
      </c>
      <c r="BQ146" s="108">
        <f t="shared" si="146"/>
        <v>0</v>
      </c>
      <c r="BR146" s="108">
        <f t="shared" si="147"/>
        <v>5</v>
      </c>
      <c r="BS146" s="108">
        <f t="shared" si="148"/>
        <v>5</v>
      </c>
      <c r="BT146" s="108">
        <f t="shared" si="152"/>
        <v>90</v>
      </c>
    </row>
    <row r="147" spans="1:72" ht="25" customHeight="1" x14ac:dyDescent="0.3">
      <c r="A147" s="185"/>
      <c r="B147" s="116" t="s">
        <v>1055</v>
      </c>
      <c r="C147" s="126" t="s">
        <v>887</v>
      </c>
      <c r="D147" s="124" t="s">
        <v>323</v>
      </c>
      <c r="E147" s="116" t="s">
        <v>882</v>
      </c>
      <c r="F147" s="111">
        <v>7.3495784126199997</v>
      </c>
      <c r="G147" s="111">
        <v>134.48753381099999</v>
      </c>
      <c r="H147" s="295" t="s">
        <v>327</v>
      </c>
      <c r="I147" s="334" t="s">
        <v>859</v>
      </c>
      <c r="J147" s="112" t="s">
        <v>848</v>
      </c>
      <c r="K147" s="295" t="s">
        <v>848</v>
      </c>
      <c r="L147" s="117">
        <v>190</v>
      </c>
      <c r="M147" s="118" t="s">
        <v>308</v>
      </c>
      <c r="N147" s="118" t="s">
        <v>298</v>
      </c>
      <c r="O147" s="118" t="s">
        <v>330</v>
      </c>
      <c r="P147" s="196" t="s">
        <v>322</v>
      </c>
      <c r="Q147" s="118" t="s">
        <v>309</v>
      </c>
      <c r="R147" s="154">
        <v>4</v>
      </c>
      <c r="S147" s="154">
        <v>4</v>
      </c>
      <c r="T147" s="154">
        <v>4</v>
      </c>
      <c r="U147" s="154">
        <v>2</v>
      </c>
      <c r="V147" s="154">
        <v>4</v>
      </c>
      <c r="W147" s="154">
        <v>4</v>
      </c>
      <c r="X147" s="154" t="s">
        <v>92</v>
      </c>
      <c r="Y147" s="154" t="s">
        <v>92</v>
      </c>
      <c r="Z147" s="154">
        <v>4</v>
      </c>
      <c r="AA147" s="154">
        <v>4</v>
      </c>
      <c r="AB147" s="296">
        <f t="shared" si="149"/>
        <v>77.777777777777786</v>
      </c>
      <c r="AC147" s="297">
        <f t="shared" si="118"/>
        <v>475000</v>
      </c>
      <c r="AD147" s="301">
        <f t="shared" si="150"/>
        <v>2375</v>
      </c>
      <c r="AE147" s="298"/>
      <c r="AJ147" s="108">
        <f t="shared" si="120"/>
        <v>0</v>
      </c>
      <c r="AK147" s="108">
        <f t="shared" si="121"/>
        <v>0</v>
      </c>
      <c r="AL147" s="108">
        <f t="shared" si="122"/>
        <v>0</v>
      </c>
      <c r="AM147" s="108">
        <f t="shared" si="123"/>
        <v>190</v>
      </c>
      <c r="AN147" s="108">
        <f t="shared" si="124"/>
        <v>0</v>
      </c>
      <c r="AO147" s="108">
        <f t="shared" si="125"/>
        <v>0</v>
      </c>
      <c r="AP147" s="108">
        <f t="shared" si="126"/>
        <v>0</v>
      </c>
      <c r="AQ147" s="108">
        <f t="shared" si="127"/>
        <v>0</v>
      </c>
      <c r="AR147" s="108">
        <f t="shared" si="128"/>
        <v>0</v>
      </c>
      <c r="AX147" s="108">
        <f t="shared" si="129"/>
        <v>4</v>
      </c>
      <c r="AY147" s="108">
        <f t="shared" si="130"/>
        <v>4</v>
      </c>
      <c r="AZ147" s="108">
        <f t="shared" si="131"/>
        <v>4</v>
      </c>
      <c r="BA147" s="108">
        <f t="shared" si="132"/>
        <v>2</v>
      </c>
      <c r="BB147" s="108">
        <f t="shared" si="133"/>
        <v>4</v>
      </c>
      <c r="BC147" s="108">
        <f t="shared" si="134"/>
        <v>4</v>
      </c>
      <c r="BD147" s="108">
        <f t="shared" si="135"/>
        <v>0</v>
      </c>
      <c r="BE147" s="108">
        <f t="shared" si="136"/>
        <v>0</v>
      </c>
      <c r="BF147" s="108">
        <f t="shared" si="137"/>
        <v>4</v>
      </c>
      <c r="BG147" s="108">
        <f t="shared" si="138"/>
        <v>4</v>
      </c>
      <c r="BH147" s="108">
        <f t="shared" si="151"/>
        <v>70</v>
      </c>
      <c r="BJ147" s="108">
        <f t="shared" si="139"/>
        <v>5</v>
      </c>
      <c r="BK147" s="108">
        <f t="shared" si="140"/>
        <v>5</v>
      </c>
      <c r="BL147" s="108">
        <f t="shared" si="141"/>
        <v>5</v>
      </c>
      <c r="BM147" s="108">
        <f t="shared" si="142"/>
        <v>5</v>
      </c>
      <c r="BN147" s="108">
        <f t="shared" si="143"/>
        <v>5</v>
      </c>
      <c r="BO147" s="108">
        <f t="shared" si="144"/>
        <v>5</v>
      </c>
      <c r="BP147" s="108">
        <f t="shared" si="145"/>
        <v>0</v>
      </c>
      <c r="BQ147" s="108">
        <f t="shared" si="146"/>
        <v>0</v>
      </c>
      <c r="BR147" s="108">
        <f t="shared" si="147"/>
        <v>5</v>
      </c>
      <c r="BS147" s="108">
        <f t="shared" si="148"/>
        <v>5</v>
      </c>
      <c r="BT147" s="108">
        <f t="shared" si="152"/>
        <v>90</v>
      </c>
    </row>
    <row r="148" spans="1:72" ht="25" customHeight="1" x14ac:dyDescent="0.3">
      <c r="A148" s="185"/>
      <c r="B148" s="116" t="s">
        <v>1056</v>
      </c>
      <c r="C148" s="126" t="s">
        <v>888</v>
      </c>
      <c r="D148" s="124" t="s">
        <v>323</v>
      </c>
      <c r="E148" s="116" t="s">
        <v>882</v>
      </c>
      <c r="F148" s="111">
        <v>7.3495784126199997</v>
      </c>
      <c r="G148" s="111">
        <v>134.48753381099999</v>
      </c>
      <c r="H148" s="295" t="s">
        <v>327</v>
      </c>
      <c r="I148" s="334" t="s">
        <v>859</v>
      </c>
      <c r="J148" s="112" t="s">
        <v>848</v>
      </c>
      <c r="K148" s="295" t="s">
        <v>848</v>
      </c>
      <c r="L148" s="117">
        <v>334</v>
      </c>
      <c r="M148" s="118" t="s">
        <v>308</v>
      </c>
      <c r="N148" s="118" t="s">
        <v>298</v>
      </c>
      <c r="O148" s="118" t="s">
        <v>330</v>
      </c>
      <c r="P148" s="196" t="s">
        <v>322</v>
      </c>
      <c r="Q148" s="118" t="s">
        <v>309</v>
      </c>
      <c r="R148" s="154">
        <v>3</v>
      </c>
      <c r="S148" s="154">
        <v>3</v>
      </c>
      <c r="T148" s="154">
        <v>3</v>
      </c>
      <c r="U148" s="154">
        <v>2</v>
      </c>
      <c r="V148" s="154">
        <v>4</v>
      </c>
      <c r="W148" s="154">
        <v>3</v>
      </c>
      <c r="X148" s="154" t="s">
        <v>92</v>
      </c>
      <c r="Y148" s="154" t="s">
        <v>92</v>
      </c>
      <c r="Z148" s="154">
        <v>3</v>
      </c>
      <c r="AA148" s="154">
        <v>3</v>
      </c>
      <c r="AB148" s="296">
        <f t="shared" si="149"/>
        <v>60</v>
      </c>
      <c r="AC148" s="297">
        <f t="shared" si="118"/>
        <v>835000</v>
      </c>
      <c r="AD148" s="301">
        <f t="shared" si="150"/>
        <v>4175</v>
      </c>
      <c r="AE148" s="298"/>
      <c r="AJ148" s="108">
        <f t="shared" si="120"/>
        <v>0</v>
      </c>
      <c r="AK148" s="108">
        <f t="shared" si="121"/>
        <v>0</v>
      </c>
      <c r="AL148" s="108">
        <f t="shared" si="122"/>
        <v>0</v>
      </c>
      <c r="AM148" s="108">
        <f t="shared" si="123"/>
        <v>334</v>
      </c>
      <c r="AN148" s="108">
        <f t="shared" si="124"/>
        <v>0</v>
      </c>
      <c r="AO148" s="108">
        <f t="shared" si="125"/>
        <v>0</v>
      </c>
      <c r="AP148" s="108">
        <f t="shared" si="126"/>
        <v>0</v>
      </c>
      <c r="AQ148" s="108">
        <f t="shared" si="127"/>
        <v>0</v>
      </c>
      <c r="AR148" s="108">
        <f t="shared" si="128"/>
        <v>0</v>
      </c>
      <c r="AX148" s="108">
        <f t="shared" si="129"/>
        <v>3</v>
      </c>
      <c r="AY148" s="108">
        <f t="shared" si="130"/>
        <v>3</v>
      </c>
      <c r="AZ148" s="108">
        <f t="shared" si="131"/>
        <v>3</v>
      </c>
      <c r="BA148" s="108">
        <f t="shared" si="132"/>
        <v>2</v>
      </c>
      <c r="BB148" s="108">
        <f t="shared" si="133"/>
        <v>4</v>
      </c>
      <c r="BC148" s="108">
        <f t="shared" si="134"/>
        <v>3</v>
      </c>
      <c r="BD148" s="108">
        <f t="shared" si="135"/>
        <v>0</v>
      </c>
      <c r="BE148" s="108">
        <f t="shared" si="136"/>
        <v>0</v>
      </c>
      <c r="BF148" s="108">
        <f t="shared" si="137"/>
        <v>3</v>
      </c>
      <c r="BG148" s="108">
        <f t="shared" si="138"/>
        <v>3</v>
      </c>
      <c r="BH148" s="108">
        <f t="shared" si="151"/>
        <v>54</v>
      </c>
      <c r="BJ148" s="108">
        <f t="shared" si="139"/>
        <v>5</v>
      </c>
      <c r="BK148" s="108">
        <f t="shared" si="140"/>
        <v>5</v>
      </c>
      <c r="BL148" s="108">
        <f t="shared" si="141"/>
        <v>5</v>
      </c>
      <c r="BM148" s="108">
        <f t="shared" si="142"/>
        <v>5</v>
      </c>
      <c r="BN148" s="108">
        <f t="shared" si="143"/>
        <v>5</v>
      </c>
      <c r="BO148" s="108">
        <f t="shared" si="144"/>
        <v>5</v>
      </c>
      <c r="BP148" s="108">
        <f t="shared" si="145"/>
        <v>0</v>
      </c>
      <c r="BQ148" s="108">
        <f t="shared" si="146"/>
        <v>0</v>
      </c>
      <c r="BR148" s="108">
        <f t="shared" si="147"/>
        <v>5</v>
      </c>
      <c r="BS148" s="108">
        <f t="shared" si="148"/>
        <v>5</v>
      </c>
      <c r="BT148" s="108">
        <f t="shared" si="152"/>
        <v>90</v>
      </c>
    </row>
    <row r="149" spans="1:72" ht="25" customHeight="1" x14ac:dyDescent="0.3">
      <c r="A149" s="185"/>
      <c r="B149" s="116" t="s">
        <v>1057</v>
      </c>
      <c r="C149" s="126" t="s">
        <v>889</v>
      </c>
      <c r="D149" s="124" t="s">
        <v>323</v>
      </c>
      <c r="E149" s="116" t="s">
        <v>882</v>
      </c>
      <c r="F149" s="111">
        <v>7.3495784126199997</v>
      </c>
      <c r="G149" s="111">
        <v>134.48753381099999</v>
      </c>
      <c r="H149" s="295" t="s">
        <v>327</v>
      </c>
      <c r="I149" s="334" t="s">
        <v>859</v>
      </c>
      <c r="J149" s="112" t="s">
        <v>848</v>
      </c>
      <c r="K149" s="295" t="s">
        <v>848</v>
      </c>
      <c r="L149" s="117">
        <v>234</v>
      </c>
      <c r="M149" s="118" t="s">
        <v>308</v>
      </c>
      <c r="N149" s="118" t="s">
        <v>298</v>
      </c>
      <c r="O149" s="118" t="s">
        <v>330</v>
      </c>
      <c r="P149" s="196" t="s">
        <v>322</v>
      </c>
      <c r="Q149" s="118" t="s">
        <v>309</v>
      </c>
      <c r="R149" s="154">
        <v>4</v>
      </c>
      <c r="S149" s="154">
        <v>4</v>
      </c>
      <c r="T149" s="154">
        <v>4</v>
      </c>
      <c r="U149" s="154">
        <v>2</v>
      </c>
      <c r="V149" s="154">
        <v>4</v>
      </c>
      <c r="W149" s="154">
        <v>3</v>
      </c>
      <c r="X149" s="154">
        <v>2</v>
      </c>
      <c r="Y149" s="154" t="s">
        <v>92</v>
      </c>
      <c r="Z149" s="154">
        <v>2</v>
      </c>
      <c r="AA149" s="154">
        <v>3</v>
      </c>
      <c r="AB149" s="296">
        <f t="shared" si="149"/>
        <v>68.421052631578945</v>
      </c>
      <c r="AC149" s="297">
        <f t="shared" si="118"/>
        <v>585000</v>
      </c>
      <c r="AD149" s="301">
        <f t="shared" si="150"/>
        <v>2925</v>
      </c>
      <c r="AE149" s="298"/>
      <c r="AJ149" s="108">
        <f t="shared" si="120"/>
        <v>0</v>
      </c>
      <c r="AK149" s="108">
        <f t="shared" si="121"/>
        <v>0</v>
      </c>
      <c r="AL149" s="108">
        <f t="shared" si="122"/>
        <v>0</v>
      </c>
      <c r="AM149" s="108">
        <f t="shared" si="123"/>
        <v>234</v>
      </c>
      <c r="AN149" s="108">
        <f t="shared" si="124"/>
        <v>0</v>
      </c>
      <c r="AO149" s="108">
        <f t="shared" si="125"/>
        <v>0</v>
      </c>
      <c r="AP149" s="108">
        <f t="shared" si="126"/>
        <v>234</v>
      </c>
      <c r="AQ149" s="108">
        <f t="shared" si="127"/>
        <v>0</v>
      </c>
      <c r="AR149" s="108">
        <f t="shared" si="128"/>
        <v>234</v>
      </c>
      <c r="AX149" s="108">
        <f t="shared" si="129"/>
        <v>4</v>
      </c>
      <c r="AY149" s="108">
        <f t="shared" si="130"/>
        <v>4</v>
      </c>
      <c r="AZ149" s="108">
        <f t="shared" si="131"/>
        <v>4</v>
      </c>
      <c r="BA149" s="108">
        <f t="shared" si="132"/>
        <v>2</v>
      </c>
      <c r="BB149" s="108">
        <f t="shared" si="133"/>
        <v>4</v>
      </c>
      <c r="BC149" s="108">
        <f t="shared" si="134"/>
        <v>3</v>
      </c>
      <c r="BD149" s="108">
        <f t="shared" si="135"/>
        <v>2</v>
      </c>
      <c r="BE149" s="108">
        <f t="shared" si="136"/>
        <v>0</v>
      </c>
      <c r="BF149" s="108">
        <f t="shared" si="137"/>
        <v>2</v>
      </c>
      <c r="BG149" s="108">
        <f t="shared" si="138"/>
        <v>3</v>
      </c>
      <c r="BH149" s="108">
        <f t="shared" si="151"/>
        <v>65</v>
      </c>
      <c r="BJ149" s="108">
        <f t="shared" si="139"/>
        <v>5</v>
      </c>
      <c r="BK149" s="108">
        <f t="shared" si="140"/>
        <v>5</v>
      </c>
      <c r="BL149" s="108">
        <f t="shared" si="141"/>
        <v>5</v>
      </c>
      <c r="BM149" s="108">
        <f t="shared" si="142"/>
        <v>5</v>
      </c>
      <c r="BN149" s="108">
        <f t="shared" si="143"/>
        <v>5</v>
      </c>
      <c r="BO149" s="108">
        <f t="shared" si="144"/>
        <v>5</v>
      </c>
      <c r="BP149" s="108">
        <f t="shared" si="145"/>
        <v>5</v>
      </c>
      <c r="BQ149" s="108">
        <f t="shared" si="146"/>
        <v>0</v>
      </c>
      <c r="BR149" s="108">
        <f t="shared" si="147"/>
        <v>5</v>
      </c>
      <c r="BS149" s="108">
        <f t="shared" si="148"/>
        <v>5</v>
      </c>
      <c r="BT149" s="108">
        <f t="shared" si="152"/>
        <v>95</v>
      </c>
    </row>
    <row r="150" spans="1:72" ht="25" customHeight="1" x14ac:dyDescent="0.3">
      <c r="A150" s="185"/>
      <c r="B150" s="116" t="s">
        <v>1058</v>
      </c>
      <c r="C150" s="126" t="s">
        <v>1898</v>
      </c>
      <c r="D150" s="124" t="s">
        <v>323</v>
      </c>
      <c r="E150" s="116" t="s">
        <v>882</v>
      </c>
      <c r="F150" s="111">
        <f>7+21.00191/60</f>
        <v>7.3500318333333334</v>
      </c>
      <c r="G150" s="111">
        <f>-134+29.23279/60</f>
        <v>-133.51278683333334</v>
      </c>
      <c r="H150" s="295" t="s">
        <v>1899</v>
      </c>
      <c r="I150" s="334">
        <v>2010</v>
      </c>
      <c r="J150" s="112" t="s">
        <v>848</v>
      </c>
      <c r="K150" s="295" t="s">
        <v>848</v>
      </c>
      <c r="L150" s="117">
        <v>575</v>
      </c>
      <c r="M150" s="118" t="s">
        <v>308</v>
      </c>
      <c r="N150" s="118" t="s">
        <v>298</v>
      </c>
      <c r="O150" s="118" t="s">
        <v>92</v>
      </c>
      <c r="P150" s="196" t="s">
        <v>298</v>
      </c>
      <c r="Q150" s="118" t="s">
        <v>353</v>
      </c>
      <c r="R150" s="154">
        <v>3</v>
      </c>
      <c r="S150" s="154">
        <v>2</v>
      </c>
      <c r="T150" s="154">
        <v>2</v>
      </c>
      <c r="U150" s="154">
        <v>3</v>
      </c>
      <c r="V150" s="154">
        <v>3</v>
      </c>
      <c r="W150" s="154" t="s">
        <v>1107</v>
      </c>
      <c r="X150" s="154" t="s">
        <v>92</v>
      </c>
      <c r="Y150" s="154" t="s">
        <v>92</v>
      </c>
      <c r="Z150" s="154">
        <v>2</v>
      </c>
      <c r="AA150" s="154">
        <v>4</v>
      </c>
      <c r="AB150" s="296">
        <f t="shared" si="149"/>
        <v>55.294117647058826</v>
      </c>
      <c r="AC150" s="297">
        <f t="shared" si="118"/>
        <v>1437500</v>
      </c>
      <c r="AD150" s="301">
        <f t="shared" si="150"/>
        <v>7187.5</v>
      </c>
      <c r="AE150" s="298"/>
      <c r="AJ150" s="108">
        <f t="shared" si="120"/>
        <v>0</v>
      </c>
      <c r="AK150" s="108">
        <f t="shared" si="121"/>
        <v>575</v>
      </c>
      <c r="AL150" s="108">
        <f t="shared" si="122"/>
        <v>575</v>
      </c>
      <c r="AM150" s="108">
        <f t="shared" si="123"/>
        <v>0</v>
      </c>
      <c r="AN150" s="108">
        <f t="shared" si="124"/>
        <v>0</v>
      </c>
      <c r="AO150" s="108">
        <f t="shared" si="125"/>
        <v>0</v>
      </c>
      <c r="AP150" s="108">
        <f t="shared" si="126"/>
        <v>0</v>
      </c>
      <c r="AQ150" s="108">
        <f t="shared" si="127"/>
        <v>0</v>
      </c>
      <c r="AR150" s="108">
        <f t="shared" si="128"/>
        <v>575</v>
      </c>
      <c r="AX150" s="108">
        <f t="shared" si="129"/>
        <v>3</v>
      </c>
      <c r="AY150" s="108">
        <f t="shared" si="130"/>
        <v>2</v>
      </c>
      <c r="AZ150" s="108">
        <f t="shared" si="131"/>
        <v>2</v>
      </c>
      <c r="BA150" s="108">
        <f t="shared" si="132"/>
        <v>3</v>
      </c>
      <c r="BB150" s="108">
        <f t="shared" si="133"/>
        <v>3</v>
      </c>
      <c r="BC150" s="108">
        <f t="shared" si="134"/>
        <v>0</v>
      </c>
      <c r="BD150" s="108">
        <f t="shared" si="135"/>
        <v>0</v>
      </c>
      <c r="BE150" s="108">
        <f t="shared" si="136"/>
        <v>0</v>
      </c>
      <c r="BF150" s="108">
        <f t="shared" si="137"/>
        <v>2</v>
      </c>
      <c r="BG150" s="108">
        <f t="shared" si="138"/>
        <v>4</v>
      </c>
      <c r="BH150" s="108">
        <f t="shared" si="151"/>
        <v>47</v>
      </c>
      <c r="BJ150" s="108">
        <f t="shared" si="139"/>
        <v>5</v>
      </c>
      <c r="BK150" s="108">
        <f t="shared" si="140"/>
        <v>5</v>
      </c>
      <c r="BL150" s="108">
        <f t="shared" si="141"/>
        <v>5</v>
      </c>
      <c r="BM150" s="108">
        <f t="shared" si="142"/>
        <v>5</v>
      </c>
      <c r="BN150" s="108">
        <f t="shared" si="143"/>
        <v>5</v>
      </c>
      <c r="BO150" s="108">
        <f t="shared" si="144"/>
        <v>0</v>
      </c>
      <c r="BP150" s="108">
        <f t="shared" si="145"/>
        <v>0</v>
      </c>
      <c r="BQ150" s="108">
        <f t="shared" si="146"/>
        <v>0</v>
      </c>
      <c r="BR150" s="108">
        <f t="shared" si="147"/>
        <v>5</v>
      </c>
      <c r="BS150" s="108">
        <f t="shared" si="148"/>
        <v>5</v>
      </c>
      <c r="BT150" s="108">
        <f t="shared" si="152"/>
        <v>85</v>
      </c>
    </row>
    <row r="151" spans="1:72" ht="24.5" customHeight="1" x14ac:dyDescent="0.3">
      <c r="A151" s="185"/>
      <c r="B151" s="116" t="s">
        <v>1059</v>
      </c>
      <c r="C151" s="126" t="s">
        <v>890</v>
      </c>
      <c r="D151" s="124" t="s">
        <v>323</v>
      </c>
      <c r="E151" s="116" t="s">
        <v>808</v>
      </c>
      <c r="F151" s="111">
        <v>7.33874530758</v>
      </c>
      <c r="G151" s="111">
        <v>134.473994304</v>
      </c>
      <c r="H151" s="295" t="s">
        <v>327</v>
      </c>
      <c r="I151" s="334" t="s">
        <v>859</v>
      </c>
      <c r="J151" s="112" t="s">
        <v>848</v>
      </c>
      <c r="K151" s="295" t="s">
        <v>848</v>
      </c>
      <c r="L151" s="117">
        <v>140</v>
      </c>
      <c r="M151" s="118" t="s">
        <v>308</v>
      </c>
      <c r="N151" s="118" t="s">
        <v>298</v>
      </c>
      <c r="O151" s="118" t="s">
        <v>330</v>
      </c>
      <c r="P151" s="196" t="s">
        <v>322</v>
      </c>
      <c r="Q151" s="118" t="s">
        <v>309</v>
      </c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296"/>
      <c r="AC151" s="297">
        <f t="shared" si="118"/>
        <v>350000</v>
      </c>
      <c r="AD151" s="301">
        <f t="shared" si="150"/>
        <v>1750</v>
      </c>
      <c r="AE151" s="298"/>
      <c r="AJ151" s="108">
        <f t="shared" si="120"/>
        <v>0</v>
      </c>
      <c r="AK151" s="108">
        <f t="shared" si="121"/>
        <v>0</v>
      </c>
      <c r="AL151" s="108">
        <f t="shared" si="122"/>
        <v>0</v>
      </c>
      <c r="AM151" s="108">
        <f t="shared" si="123"/>
        <v>0</v>
      </c>
      <c r="AN151" s="108">
        <f t="shared" si="124"/>
        <v>0</v>
      </c>
      <c r="AO151" s="108">
        <f t="shared" si="125"/>
        <v>0</v>
      </c>
      <c r="AP151" s="108">
        <f t="shared" si="126"/>
        <v>0</v>
      </c>
      <c r="AQ151" s="108">
        <f t="shared" si="127"/>
        <v>0</v>
      </c>
      <c r="AR151" s="108">
        <f t="shared" si="128"/>
        <v>0</v>
      </c>
      <c r="AX151" s="108">
        <f t="shared" si="129"/>
        <v>0</v>
      </c>
      <c r="AY151" s="108">
        <f t="shared" si="130"/>
        <v>0</v>
      </c>
      <c r="AZ151" s="108">
        <f t="shared" si="131"/>
        <v>0</v>
      </c>
      <c r="BA151" s="108">
        <f t="shared" si="132"/>
        <v>0</v>
      </c>
      <c r="BB151" s="108">
        <f t="shared" si="133"/>
        <v>0</v>
      </c>
      <c r="BC151" s="108">
        <f t="shared" si="134"/>
        <v>0</v>
      </c>
      <c r="BD151" s="108">
        <f t="shared" si="135"/>
        <v>0</v>
      </c>
      <c r="BE151" s="108">
        <f t="shared" si="136"/>
        <v>0</v>
      </c>
      <c r="BF151" s="108">
        <f t="shared" si="137"/>
        <v>0</v>
      </c>
      <c r="BG151" s="108">
        <f t="shared" si="138"/>
        <v>0</v>
      </c>
      <c r="BH151" s="108">
        <f t="shared" si="151"/>
        <v>0</v>
      </c>
      <c r="BJ151" s="108">
        <f t="shared" si="139"/>
        <v>0</v>
      </c>
      <c r="BK151" s="108">
        <f t="shared" si="140"/>
        <v>0</v>
      </c>
      <c r="BL151" s="108">
        <f t="shared" si="141"/>
        <v>0</v>
      </c>
      <c r="BM151" s="108">
        <f t="shared" si="142"/>
        <v>0</v>
      </c>
      <c r="BN151" s="108">
        <f t="shared" si="143"/>
        <v>0</v>
      </c>
      <c r="BO151" s="108">
        <f t="shared" si="144"/>
        <v>0</v>
      </c>
      <c r="BP151" s="108">
        <f t="shared" si="145"/>
        <v>0</v>
      </c>
      <c r="BQ151" s="108">
        <f t="shared" si="146"/>
        <v>0</v>
      </c>
      <c r="BR151" s="108">
        <f t="shared" si="147"/>
        <v>0</v>
      </c>
      <c r="BS151" s="108">
        <f t="shared" si="148"/>
        <v>0</v>
      </c>
      <c r="BT151" s="108">
        <f t="shared" si="152"/>
        <v>0</v>
      </c>
    </row>
    <row r="152" spans="1:72" ht="24.5" customHeight="1" x14ac:dyDescent="0.3">
      <c r="A152" s="185"/>
      <c r="B152" s="116" t="s">
        <v>1060</v>
      </c>
      <c r="C152" s="126" t="s">
        <v>891</v>
      </c>
      <c r="D152" s="124" t="s">
        <v>323</v>
      </c>
      <c r="E152" s="116" t="s">
        <v>808</v>
      </c>
      <c r="F152" s="111">
        <v>7.33874530758</v>
      </c>
      <c r="G152" s="111">
        <v>134.473994304</v>
      </c>
      <c r="H152" s="295" t="s">
        <v>892</v>
      </c>
      <c r="I152" s="334">
        <v>2000</v>
      </c>
      <c r="J152" s="112" t="s">
        <v>848</v>
      </c>
      <c r="K152" s="295" t="s">
        <v>848</v>
      </c>
      <c r="L152" s="117">
        <v>372</v>
      </c>
      <c r="M152" s="118" t="s">
        <v>308</v>
      </c>
      <c r="N152" s="118" t="s">
        <v>159</v>
      </c>
      <c r="O152" s="118" t="s">
        <v>359</v>
      </c>
      <c r="P152" s="196" t="s">
        <v>298</v>
      </c>
      <c r="Q152" s="118" t="s">
        <v>353</v>
      </c>
      <c r="R152" s="154">
        <v>3</v>
      </c>
      <c r="S152" s="154">
        <v>2</v>
      </c>
      <c r="T152" s="154">
        <v>3</v>
      </c>
      <c r="U152" s="154">
        <v>3</v>
      </c>
      <c r="V152" s="154">
        <v>2</v>
      </c>
      <c r="W152" s="154" t="s">
        <v>1107</v>
      </c>
      <c r="X152" s="154" t="s">
        <v>92</v>
      </c>
      <c r="Y152" s="154" t="s">
        <v>92</v>
      </c>
      <c r="Z152" s="154">
        <v>2</v>
      </c>
      <c r="AA152" s="154">
        <v>5</v>
      </c>
      <c r="AB152" s="296">
        <f t="shared" si="149"/>
        <v>61.176470588235297</v>
      </c>
      <c r="AC152" s="297">
        <f t="shared" ref="AC152:AC183" si="153">L152*AC$2</f>
        <v>930000</v>
      </c>
      <c r="AD152" s="301">
        <f t="shared" si="150"/>
        <v>4650</v>
      </c>
      <c r="AE152" s="298"/>
      <c r="AJ152" s="108">
        <f t="shared" si="120"/>
        <v>0</v>
      </c>
      <c r="AK152" s="108">
        <f t="shared" si="121"/>
        <v>372</v>
      </c>
      <c r="AL152" s="108">
        <f t="shared" si="122"/>
        <v>0</v>
      </c>
      <c r="AM152" s="108">
        <f t="shared" si="123"/>
        <v>0</v>
      </c>
      <c r="AN152" s="108">
        <f t="shared" si="124"/>
        <v>372</v>
      </c>
      <c r="AO152" s="108">
        <f t="shared" si="125"/>
        <v>0</v>
      </c>
      <c r="AP152" s="108">
        <f t="shared" si="126"/>
        <v>0</v>
      </c>
      <c r="AQ152" s="108">
        <f t="shared" si="127"/>
        <v>0</v>
      </c>
      <c r="AR152" s="108">
        <f t="shared" si="128"/>
        <v>372</v>
      </c>
      <c r="AX152" s="108">
        <f t="shared" si="129"/>
        <v>3</v>
      </c>
      <c r="AY152" s="108">
        <f t="shared" si="130"/>
        <v>2</v>
      </c>
      <c r="AZ152" s="108">
        <f t="shared" si="131"/>
        <v>3</v>
      </c>
      <c r="BA152" s="108">
        <f t="shared" si="132"/>
        <v>3</v>
      </c>
      <c r="BB152" s="108">
        <f t="shared" si="133"/>
        <v>2</v>
      </c>
      <c r="BC152" s="108">
        <f t="shared" si="134"/>
        <v>0</v>
      </c>
      <c r="BD152" s="108">
        <f t="shared" si="135"/>
        <v>0</v>
      </c>
      <c r="BE152" s="108">
        <f t="shared" si="136"/>
        <v>0</v>
      </c>
      <c r="BF152" s="108">
        <f t="shared" si="137"/>
        <v>2</v>
      </c>
      <c r="BG152" s="108">
        <f t="shared" si="138"/>
        <v>5</v>
      </c>
      <c r="BH152" s="108">
        <f t="shared" si="151"/>
        <v>52</v>
      </c>
      <c r="BJ152" s="108">
        <f t="shared" si="139"/>
        <v>5</v>
      </c>
      <c r="BK152" s="108">
        <f t="shared" si="140"/>
        <v>5</v>
      </c>
      <c r="BL152" s="108">
        <f t="shared" si="141"/>
        <v>5</v>
      </c>
      <c r="BM152" s="108">
        <f t="shared" si="142"/>
        <v>5</v>
      </c>
      <c r="BN152" s="108">
        <f t="shared" si="143"/>
        <v>5</v>
      </c>
      <c r="BO152" s="108">
        <f t="shared" si="144"/>
        <v>0</v>
      </c>
      <c r="BP152" s="108">
        <f t="shared" si="145"/>
        <v>0</v>
      </c>
      <c r="BQ152" s="108">
        <f t="shared" si="146"/>
        <v>0</v>
      </c>
      <c r="BR152" s="108">
        <f t="shared" si="147"/>
        <v>5</v>
      </c>
      <c r="BS152" s="108">
        <f t="shared" si="148"/>
        <v>5</v>
      </c>
      <c r="BT152" s="108">
        <f t="shared" si="152"/>
        <v>85</v>
      </c>
    </row>
    <row r="153" spans="1:72" ht="25" customHeight="1" x14ac:dyDescent="0.3">
      <c r="A153" s="185"/>
      <c r="B153" s="116" t="s">
        <v>1061</v>
      </c>
      <c r="C153" s="126" t="s">
        <v>893</v>
      </c>
      <c r="D153" s="124" t="s">
        <v>323</v>
      </c>
      <c r="E153" s="116" t="s">
        <v>808</v>
      </c>
      <c r="F153" s="111">
        <v>7.33874530758</v>
      </c>
      <c r="G153" s="111">
        <v>134.473994304</v>
      </c>
      <c r="H153" s="295" t="s">
        <v>327</v>
      </c>
      <c r="I153" s="334">
        <v>2019</v>
      </c>
      <c r="J153" s="112" t="s">
        <v>848</v>
      </c>
      <c r="K153" s="295" t="s">
        <v>848</v>
      </c>
      <c r="L153" s="117">
        <v>111</v>
      </c>
      <c r="M153" s="118" t="s">
        <v>308</v>
      </c>
      <c r="N153" s="118" t="s">
        <v>159</v>
      </c>
      <c r="O153" s="118" t="s">
        <v>359</v>
      </c>
      <c r="P153" s="196" t="s">
        <v>298</v>
      </c>
      <c r="Q153" s="118" t="s">
        <v>353</v>
      </c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296"/>
      <c r="AC153" s="297">
        <f t="shared" si="153"/>
        <v>277500</v>
      </c>
      <c r="AD153" s="301">
        <f t="shared" si="150"/>
        <v>1387.5</v>
      </c>
      <c r="AE153" s="298"/>
      <c r="AJ153" s="108">
        <f t="shared" si="120"/>
        <v>0</v>
      </c>
      <c r="AK153" s="108">
        <f t="shared" si="121"/>
        <v>0</v>
      </c>
      <c r="AL153" s="108">
        <f t="shared" si="122"/>
        <v>0</v>
      </c>
      <c r="AM153" s="108">
        <f t="shared" si="123"/>
        <v>0</v>
      </c>
      <c r="AN153" s="108">
        <f t="shared" si="124"/>
        <v>0</v>
      </c>
      <c r="AO153" s="108">
        <f t="shared" si="125"/>
        <v>0</v>
      </c>
      <c r="AP153" s="108">
        <f t="shared" si="126"/>
        <v>0</v>
      </c>
      <c r="AQ153" s="108">
        <f t="shared" si="127"/>
        <v>0</v>
      </c>
      <c r="AR153" s="108">
        <f t="shared" si="128"/>
        <v>0</v>
      </c>
      <c r="AX153" s="108">
        <f t="shared" si="129"/>
        <v>0</v>
      </c>
      <c r="AY153" s="108">
        <f t="shared" si="130"/>
        <v>0</v>
      </c>
      <c r="AZ153" s="108">
        <f t="shared" si="131"/>
        <v>0</v>
      </c>
      <c r="BA153" s="108">
        <f t="shared" si="132"/>
        <v>0</v>
      </c>
      <c r="BB153" s="108">
        <f t="shared" si="133"/>
        <v>0</v>
      </c>
      <c r="BC153" s="108">
        <f t="shared" si="134"/>
        <v>0</v>
      </c>
      <c r="BD153" s="108">
        <f t="shared" si="135"/>
        <v>0</v>
      </c>
      <c r="BE153" s="108">
        <f t="shared" si="136"/>
        <v>0</v>
      </c>
      <c r="BF153" s="108">
        <f t="shared" si="137"/>
        <v>0</v>
      </c>
      <c r="BG153" s="108">
        <f t="shared" si="138"/>
        <v>0</v>
      </c>
      <c r="BH153" s="108">
        <f t="shared" si="151"/>
        <v>0</v>
      </c>
      <c r="BJ153" s="108">
        <f t="shared" si="139"/>
        <v>0</v>
      </c>
      <c r="BK153" s="108">
        <f t="shared" si="140"/>
        <v>0</v>
      </c>
      <c r="BL153" s="108">
        <f t="shared" si="141"/>
        <v>0</v>
      </c>
      <c r="BM153" s="108">
        <f t="shared" si="142"/>
        <v>0</v>
      </c>
      <c r="BN153" s="108">
        <f t="shared" si="143"/>
        <v>0</v>
      </c>
      <c r="BO153" s="108">
        <f t="shared" si="144"/>
        <v>0</v>
      </c>
      <c r="BP153" s="108">
        <f t="shared" si="145"/>
        <v>0</v>
      </c>
      <c r="BQ153" s="108">
        <f t="shared" si="146"/>
        <v>0</v>
      </c>
      <c r="BR153" s="108">
        <f t="shared" si="147"/>
        <v>0</v>
      </c>
      <c r="BS153" s="108">
        <f t="shared" si="148"/>
        <v>0</v>
      </c>
      <c r="BT153" s="108">
        <f t="shared" si="152"/>
        <v>0</v>
      </c>
    </row>
    <row r="154" spans="1:72" ht="25" customHeight="1" x14ac:dyDescent="0.3">
      <c r="A154" s="185"/>
      <c r="B154" s="116" t="s">
        <v>1062</v>
      </c>
      <c r="C154" s="126" t="s">
        <v>894</v>
      </c>
      <c r="D154" s="124" t="s">
        <v>323</v>
      </c>
      <c r="E154" s="116" t="s">
        <v>808</v>
      </c>
      <c r="F154" s="111">
        <v>7.33874530758</v>
      </c>
      <c r="G154" s="111">
        <v>134.473994304</v>
      </c>
      <c r="H154" s="295" t="s">
        <v>327</v>
      </c>
      <c r="I154" s="334" t="s">
        <v>859</v>
      </c>
      <c r="J154" s="112">
        <v>2020</v>
      </c>
      <c r="K154" s="295" t="s">
        <v>843</v>
      </c>
      <c r="L154" s="117">
        <v>201</v>
      </c>
      <c r="M154" s="118" t="s">
        <v>308</v>
      </c>
      <c r="N154" s="118" t="s">
        <v>298</v>
      </c>
      <c r="O154" s="118" t="s">
        <v>330</v>
      </c>
      <c r="P154" s="196" t="s">
        <v>322</v>
      </c>
      <c r="Q154" s="118" t="s">
        <v>309</v>
      </c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296"/>
      <c r="AC154" s="297">
        <f t="shared" si="153"/>
        <v>502500</v>
      </c>
      <c r="AD154" s="301">
        <f t="shared" si="150"/>
        <v>2512.5</v>
      </c>
      <c r="AE154" s="298"/>
      <c r="AJ154" s="108">
        <f t="shared" si="120"/>
        <v>0</v>
      </c>
      <c r="AK154" s="108">
        <f t="shared" si="121"/>
        <v>0</v>
      </c>
      <c r="AL154" s="108">
        <f t="shared" si="122"/>
        <v>0</v>
      </c>
      <c r="AM154" s="108">
        <f t="shared" si="123"/>
        <v>0</v>
      </c>
      <c r="AN154" s="108">
        <f t="shared" si="124"/>
        <v>0</v>
      </c>
      <c r="AO154" s="108">
        <f t="shared" si="125"/>
        <v>0</v>
      </c>
      <c r="AP154" s="108">
        <f t="shared" si="126"/>
        <v>0</v>
      </c>
      <c r="AQ154" s="108">
        <f t="shared" si="127"/>
        <v>0</v>
      </c>
      <c r="AR154" s="108">
        <f t="shared" si="128"/>
        <v>0</v>
      </c>
      <c r="AX154" s="108">
        <f t="shared" si="129"/>
        <v>0</v>
      </c>
      <c r="AY154" s="108">
        <f t="shared" si="130"/>
        <v>0</v>
      </c>
      <c r="AZ154" s="108">
        <f t="shared" si="131"/>
        <v>0</v>
      </c>
      <c r="BA154" s="108">
        <f t="shared" si="132"/>
        <v>0</v>
      </c>
      <c r="BB154" s="108">
        <f t="shared" si="133"/>
        <v>0</v>
      </c>
      <c r="BC154" s="108">
        <f t="shared" si="134"/>
        <v>0</v>
      </c>
      <c r="BD154" s="108">
        <f t="shared" si="135"/>
        <v>0</v>
      </c>
      <c r="BE154" s="108">
        <f t="shared" si="136"/>
        <v>0</v>
      </c>
      <c r="BF154" s="108">
        <f t="shared" si="137"/>
        <v>0</v>
      </c>
      <c r="BG154" s="108">
        <f t="shared" si="138"/>
        <v>0</v>
      </c>
      <c r="BH154" s="108">
        <f t="shared" si="151"/>
        <v>0</v>
      </c>
      <c r="BJ154" s="108">
        <f t="shared" si="139"/>
        <v>0</v>
      </c>
      <c r="BK154" s="108">
        <f t="shared" si="140"/>
        <v>0</v>
      </c>
      <c r="BL154" s="108">
        <f t="shared" si="141"/>
        <v>0</v>
      </c>
      <c r="BM154" s="108">
        <f t="shared" si="142"/>
        <v>0</v>
      </c>
      <c r="BN154" s="108">
        <f t="shared" si="143"/>
        <v>0</v>
      </c>
      <c r="BO154" s="108">
        <f t="shared" si="144"/>
        <v>0</v>
      </c>
      <c r="BP154" s="108">
        <f t="shared" si="145"/>
        <v>0</v>
      </c>
      <c r="BQ154" s="108">
        <f t="shared" si="146"/>
        <v>0</v>
      </c>
      <c r="BR154" s="108">
        <f t="shared" si="147"/>
        <v>0</v>
      </c>
      <c r="BS154" s="108">
        <f t="shared" si="148"/>
        <v>0</v>
      </c>
      <c r="BT154" s="108">
        <f t="shared" si="152"/>
        <v>0</v>
      </c>
    </row>
    <row r="155" spans="1:72" ht="25" customHeight="1" x14ac:dyDescent="0.3">
      <c r="A155" s="185"/>
      <c r="B155" s="116" t="s">
        <v>1063</v>
      </c>
      <c r="C155" s="126" t="s">
        <v>895</v>
      </c>
      <c r="D155" s="124" t="s">
        <v>323</v>
      </c>
      <c r="E155" s="116" t="s">
        <v>808</v>
      </c>
      <c r="F155" s="111">
        <v>7.33874530758</v>
      </c>
      <c r="G155" s="111">
        <v>134.473994304</v>
      </c>
      <c r="H155" s="295" t="s">
        <v>327</v>
      </c>
      <c r="I155" s="334" t="s">
        <v>859</v>
      </c>
      <c r="J155" s="112">
        <v>2020</v>
      </c>
      <c r="K155" s="295" t="s">
        <v>843</v>
      </c>
      <c r="L155" s="117">
        <v>201</v>
      </c>
      <c r="M155" s="118" t="s">
        <v>308</v>
      </c>
      <c r="N155" s="118" t="s">
        <v>298</v>
      </c>
      <c r="O155" s="118" t="s">
        <v>330</v>
      </c>
      <c r="P155" s="196" t="s">
        <v>322</v>
      </c>
      <c r="Q155" s="118" t="s">
        <v>309</v>
      </c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296"/>
      <c r="AC155" s="297">
        <f t="shared" si="153"/>
        <v>502500</v>
      </c>
      <c r="AD155" s="301">
        <f t="shared" si="150"/>
        <v>2512.5</v>
      </c>
      <c r="AE155" s="298"/>
      <c r="AJ155" s="108">
        <f t="shared" si="120"/>
        <v>0</v>
      </c>
      <c r="AK155" s="108">
        <f t="shared" si="121"/>
        <v>0</v>
      </c>
      <c r="AL155" s="108">
        <f t="shared" si="122"/>
        <v>0</v>
      </c>
      <c r="AM155" s="108">
        <f t="shared" si="123"/>
        <v>0</v>
      </c>
      <c r="AN155" s="108">
        <f t="shared" si="124"/>
        <v>0</v>
      </c>
      <c r="AO155" s="108">
        <f t="shared" si="125"/>
        <v>0</v>
      </c>
      <c r="AP155" s="108">
        <f t="shared" si="126"/>
        <v>0</v>
      </c>
      <c r="AQ155" s="108">
        <f t="shared" si="127"/>
        <v>0</v>
      </c>
      <c r="AR155" s="108">
        <f t="shared" si="128"/>
        <v>0</v>
      </c>
      <c r="AX155" s="108">
        <f t="shared" si="129"/>
        <v>0</v>
      </c>
      <c r="AY155" s="108">
        <f t="shared" si="130"/>
        <v>0</v>
      </c>
      <c r="AZ155" s="108">
        <f t="shared" si="131"/>
        <v>0</v>
      </c>
      <c r="BA155" s="108">
        <f t="shared" si="132"/>
        <v>0</v>
      </c>
      <c r="BB155" s="108">
        <f t="shared" si="133"/>
        <v>0</v>
      </c>
      <c r="BC155" s="108">
        <f t="shared" si="134"/>
        <v>0</v>
      </c>
      <c r="BD155" s="108">
        <f t="shared" si="135"/>
        <v>0</v>
      </c>
      <c r="BE155" s="108">
        <f t="shared" si="136"/>
        <v>0</v>
      </c>
      <c r="BF155" s="108">
        <f t="shared" si="137"/>
        <v>0</v>
      </c>
      <c r="BG155" s="108">
        <f t="shared" si="138"/>
        <v>0</v>
      </c>
      <c r="BH155" s="108">
        <f t="shared" si="151"/>
        <v>0</v>
      </c>
      <c r="BJ155" s="108">
        <f t="shared" si="139"/>
        <v>0</v>
      </c>
      <c r="BK155" s="108">
        <f t="shared" si="140"/>
        <v>0</v>
      </c>
      <c r="BL155" s="108">
        <f t="shared" si="141"/>
        <v>0</v>
      </c>
      <c r="BM155" s="108">
        <f t="shared" si="142"/>
        <v>0</v>
      </c>
      <c r="BN155" s="108">
        <f t="shared" si="143"/>
        <v>0</v>
      </c>
      <c r="BO155" s="108">
        <f t="shared" si="144"/>
        <v>0</v>
      </c>
      <c r="BP155" s="108">
        <f t="shared" si="145"/>
        <v>0</v>
      </c>
      <c r="BQ155" s="108">
        <f t="shared" si="146"/>
        <v>0</v>
      </c>
      <c r="BR155" s="108">
        <f t="shared" si="147"/>
        <v>0</v>
      </c>
      <c r="BS155" s="108">
        <f t="shared" si="148"/>
        <v>0</v>
      </c>
      <c r="BT155" s="108">
        <f t="shared" si="152"/>
        <v>0</v>
      </c>
    </row>
    <row r="156" spans="1:72" ht="25" customHeight="1" x14ac:dyDescent="0.3">
      <c r="A156" s="185"/>
      <c r="B156" s="116" t="s">
        <v>1064</v>
      </c>
      <c r="C156" s="126" t="s">
        <v>896</v>
      </c>
      <c r="D156" s="124" t="s">
        <v>323</v>
      </c>
      <c r="E156" s="116" t="s">
        <v>808</v>
      </c>
      <c r="F156" s="111">
        <v>7.33874530758</v>
      </c>
      <c r="G156" s="111">
        <v>134.473994304</v>
      </c>
      <c r="H156" s="295" t="s">
        <v>327</v>
      </c>
      <c r="I156" s="334" t="s">
        <v>859</v>
      </c>
      <c r="J156" s="112">
        <v>2020</v>
      </c>
      <c r="K156" s="295" t="s">
        <v>843</v>
      </c>
      <c r="L156" s="117">
        <v>201</v>
      </c>
      <c r="M156" s="118" t="s">
        <v>308</v>
      </c>
      <c r="N156" s="118" t="s">
        <v>298</v>
      </c>
      <c r="O156" s="118" t="s">
        <v>330</v>
      </c>
      <c r="P156" s="196" t="s">
        <v>322</v>
      </c>
      <c r="Q156" s="118" t="s">
        <v>309</v>
      </c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296"/>
      <c r="AC156" s="297">
        <f t="shared" si="153"/>
        <v>502500</v>
      </c>
      <c r="AD156" s="301">
        <f t="shared" si="150"/>
        <v>2512.5</v>
      </c>
      <c r="AE156" s="298"/>
      <c r="AJ156" s="108">
        <f t="shared" si="120"/>
        <v>0</v>
      </c>
      <c r="AK156" s="108">
        <f t="shared" si="121"/>
        <v>0</v>
      </c>
      <c r="AL156" s="108">
        <f t="shared" si="122"/>
        <v>0</v>
      </c>
      <c r="AM156" s="108">
        <f t="shared" si="123"/>
        <v>0</v>
      </c>
      <c r="AN156" s="108">
        <f t="shared" si="124"/>
        <v>0</v>
      </c>
      <c r="AO156" s="108">
        <f t="shared" si="125"/>
        <v>0</v>
      </c>
      <c r="AP156" s="108">
        <f t="shared" si="126"/>
        <v>0</v>
      </c>
      <c r="AQ156" s="108">
        <f t="shared" si="127"/>
        <v>0</v>
      </c>
      <c r="AR156" s="108">
        <f t="shared" si="128"/>
        <v>0</v>
      </c>
      <c r="AX156" s="108">
        <f t="shared" si="129"/>
        <v>0</v>
      </c>
      <c r="AY156" s="108">
        <f t="shared" si="130"/>
        <v>0</v>
      </c>
      <c r="AZ156" s="108">
        <f t="shared" si="131"/>
        <v>0</v>
      </c>
      <c r="BA156" s="108">
        <f t="shared" si="132"/>
        <v>0</v>
      </c>
      <c r="BB156" s="108">
        <f t="shared" si="133"/>
        <v>0</v>
      </c>
      <c r="BC156" s="108">
        <f t="shared" si="134"/>
        <v>0</v>
      </c>
      <c r="BD156" s="108">
        <f t="shared" si="135"/>
        <v>0</v>
      </c>
      <c r="BE156" s="108">
        <f t="shared" si="136"/>
        <v>0</v>
      </c>
      <c r="BF156" s="108">
        <f t="shared" si="137"/>
        <v>0</v>
      </c>
      <c r="BG156" s="108">
        <f t="shared" si="138"/>
        <v>0</v>
      </c>
      <c r="BH156" s="108">
        <f t="shared" si="151"/>
        <v>0</v>
      </c>
      <c r="BJ156" s="108">
        <f t="shared" si="139"/>
        <v>0</v>
      </c>
      <c r="BK156" s="108">
        <f t="shared" si="140"/>
        <v>0</v>
      </c>
      <c r="BL156" s="108">
        <f t="shared" si="141"/>
        <v>0</v>
      </c>
      <c r="BM156" s="108">
        <f t="shared" si="142"/>
        <v>0</v>
      </c>
      <c r="BN156" s="108">
        <f t="shared" si="143"/>
        <v>0</v>
      </c>
      <c r="BO156" s="108">
        <f t="shared" si="144"/>
        <v>0</v>
      </c>
      <c r="BP156" s="108">
        <f t="shared" si="145"/>
        <v>0</v>
      </c>
      <c r="BQ156" s="108">
        <f t="shared" si="146"/>
        <v>0</v>
      </c>
      <c r="BR156" s="108">
        <f t="shared" si="147"/>
        <v>0</v>
      </c>
      <c r="BS156" s="108">
        <f t="shared" si="148"/>
        <v>0</v>
      </c>
      <c r="BT156" s="108">
        <f t="shared" si="152"/>
        <v>0</v>
      </c>
    </row>
    <row r="157" spans="1:72" ht="25" customHeight="1" x14ac:dyDescent="0.3">
      <c r="A157" s="185"/>
      <c r="B157" s="116" t="s">
        <v>1065</v>
      </c>
      <c r="C157" s="126" t="s">
        <v>897</v>
      </c>
      <c r="D157" s="124" t="s">
        <v>323</v>
      </c>
      <c r="E157" s="116" t="s">
        <v>808</v>
      </c>
      <c r="F157" s="111">
        <v>7.33874530758</v>
      </c>
      <c r="G157" s="111">
        <v>134.473994304</v>
      </c>
      <c r="H157" s="295" t="s">
        <v>327</v>
      </c>
      <c r="I157" s="334" t="s">
        <v>859</v>
      </c>
      <c r="J157" s="112">
        <v>2020</v>
      </c>
      <c r="K157" s="295" t="s">
        <v>843</v>
      </c>
      <c r="L157" s="117">
        <v>201</v>
      </c>
      <c r="M157" s="118" t="s">
        <v>308</v>
      </c>
      <c r="N157" s="118" t="s">
        <v>298</v>
      </c>
      <c r="O157" s="118" t="s">
        <v>330</v>
      </c>
      <c r="P157" s="196" t="s">
        <v>322</v>
      </c>
      <c r="Q157" s="118" t="s">
        <v>309</v>
      </c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296"/>
      <c r="AC157" s="297">
        <f t="shared" si="153"/>
        <v>502500</v>
      </c>
      <c r="AD157" s="301">
        <f t="shared" si="150"/>
        <v>2512.5</v>
      </c>
      <c r="AE157" s="298"/>
      <c r="AJ157" s="108">
        <f t="shared" si="120"/>
        <v>0</v>
      </c>
      <c r="AK157" s="108">
        <f t="shared" si="121"/>
        <v>0</v>
      </c>
      <c r="AL157" s="108">
        <f t="shared" si="122"/>
        <v>0</v>
      </c>
      <c r="AM157" s="108">
        <f t="shared" si="123"/>
        <v>0</v>
      </c>
      <c r="AN157" s="108">
        <f t="shared" si="124"/>
        <v>0</v>
      </c>
      <c r="AO157" s="108">
        <f t="shared" si="125"/>
        <v>0</v>
      </c>
      <c r="AP157" s="108">
        <f t="shared" si="126"/>
        <v>0</v>
      </c>
      <c r="AQ157" s="108">
        <f t="shared" si="127"/>
        <v>0</v>
      </c>
      <c r="AR157" s="108">
        <f t="shared" si="128"/>
        <v>0</v>
      </c>
      <c r="AX157" s="108">
        <f t="shared" si="129"/>
        <v>0</v>
      </c>
      <c r="AY157" s="108">
        <f t="shared" si="130"/>
        <v>0</v>
      </c>
      <c r="AZ157" s="108">
        <f t="shared" si="131"/>
        <v>0</v>
      </c>
      <c r="BA157" s="108">
        <f t="shared" si="132"/>
        <v>0</v>
      </c>
      <c r="BB157" s="108">
        <f t="shared" si="133"/>
        <v>0</v>
      </c>
      <c r="BC157" s="108">
        <f t="shared" si="134"/>
        <v>0</v>
      </c>
      <c r="BD157" s="108">
        <f t="shared" si="135"/>
        <v>0</v>
      </c>
      <c r="BE157" s="108">
        <f t="shared" si="136"/>
        <v>0</v>
      </c>
      <c r="BF157" s="108">
        <f t="shared" si="137"/>
        <v>0</v>
      </c>
      <c r="BG157" s="108">
        <f t="shared" si="138"/>
        <v>0</v>
      </c>
      <c r="BH157" s="108">
        <f t="shared" si="151"/>
        <v>0</v>
      </c>
      <c r="BJ157" s="108">
        <f t="shared" si="139"/>
        <v>0</v>
      </c>
      <c r="BK157" s="108">
        <f t="shared" si="140"/>
        <v>0</v>
      </c>
      <c r="BL157" s="108">
        <f t="shared" si="141"/>
        <v>0</v>
      </c>
      <c r="BM157" s="108">
        <f t="shared" si="142"/>
        <v>0</v>
      </c>
      <c r="BN157" s="108">
        <f t="shared" si="143"/>
        <v>0</v>
      </c>
      <c r="BO157" s="108">
        <f t="shared" si="144"/>
        <v>0</v>
      </c>
      <c r="BP157" s="108">
        <f t="shared" si="145"/>
        <v>0</v>
      </c>
      <c r="BQ157" s="108">
        <f t="shared" si="146"/>
        <v>0</v>
      </c>
      <c r="BR157" s="108">
        <f t="shared" si="147"/>
        <v>0</v>
      </c>
      <c r="BS157" s="108">
        <f t="shared" si="148"/>
        <v>0</v>
      </c>
      <c r="BT157" s="108">
        <f t="shared" si="152"/>
        <v>0</v>
      </c>
    </row>
    <row r="158" spans="1:72" ht="25" customHeight="1" x14ac:dyDescent="0.3">
      <c r="A158" s="185"/>
      <c r="B158" s="116" t="s">
        <v>1066</v>
      </c>
      <c r="C158" s="126" t="s">
        <v>898</v>
      </c>
      <c r="D158" s="124" t="s">
        <v>323</v>
      </c>
      <c r="E158" s="116" t="s">
        <v>808</v>
      </c>
      <c r="F158" s="111">
        <v>7.33874530758</v>
      </c>
      <c r="G158" s="111">
        <v>134.473994304</v>
      </c>
      <c r="H158" s="295" t="s">
        <v>327</v>
      </c>
      <c r="I158" s="334" t="s">
        <v>859</v>
      </c>
      <c r="J158" s="112">
        <v>2020</v>
      </c>
      <c r="K158" s="295" t="s">
        <v>843</v>
      </c>
      <c r="L158" s="117">
        <v>201</v>
      </c>
      <c r="M158" s="118" t="s">
        <v>308</v>
      </c>
      <c r="N158" s="118" t="s">
        <v>298</v>
      </c>
      <c r="O158" s="118" t="s">
        <v>330</v>
      </c>
      <c r="P158" s="196" t="s">
        <v>322</v>
      </c>
      <c r="Q158" s="118" t="s">
        <v>309</v>
      </c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296"/>
      <c r="AC158" s="297">
        <f t="shared" si="153"/>
        <v>502500</v>
      </c>
      <c r="AD158" s="301">
        <f t="shared" si="150"/>
        <v>2512.5</v>
      </c>
      <c r="AE158" s="298"/>
      <c r="AJ158" s="108">
        <f t="shared" si="120"/>
        <v>0</v>
      </c>
      <c r="AK158" s="108">
        <f t="shared" si="121"/>
        <v>0</v>
      </c>
      <c r="AL158" s="108">
        <f t="shared" si="122"/>
        <v>0</v>
      </c>
      <c r="AM158" s="108">
        <f t="shared" si="123"/>
        <v>0</v>
      </c>
      <c r="AN158" s="108">
        <f t="shared" si="124"/>
        <v>0</v>
      </c>
      <c r="AO158" s="108">
        <f t="shared" si="125"/>
        <v>0</v>
      </c>
      <c r="AP158" s="108">
        <f t="shared" si="126"/>
        <v>0</v>
      </c>
      <c r="AQ158" s="108">
        <f t="shared" si="127"/>
        <v>0</v>
      </c>
      <c r="AR158" s="108">
        <f t="shared" si="128"/>
        <v>0</v>
      </c>
      <c r="AX158" s="108">
        <f t="shared" si="129"/>
        <v>0</v>
      </c>
      <c r="AY158" s="108">
        <f t="shared" si="130"/>
        <v>0</v>
      </c>
      <c r="AZ158" s="108">
        <f t="shared" si="131"/>
        <v>0</v>
      </c>
      <c r="BA158" s="108">
        <f t="shared" si="132"/>
        <v>0</v>
      </c>
      <c r="BB158" s="108">
        <f t="shared" si="133"/>
        <v>0</v>
      </c>
      <c r="BC158" s="108">
        <f t="shared" si="134"/>
        <v>0</v>
      </c>
      <c r="BD158" s="108">
        <f t="shared" si="135"/>
        <v>0</v>
      </c>
      <c r="BE158" s="108">
        <f t="shared" si="136"/>
        <v>0</v>
      </c>
      <c r="BF158" s="108">
        <f t="shared" si="137"/>
        <v>0</v>
      </c>
      <c r="BG158" s="108">
        <f t="shared" si="138"/>
        <v>0</v>
      </c>
      <c r="BH158" s="108">
        <f t="shared" si="151"/>
        <v>0</v>
      </c>
      <c r="BJ158" s="108">
        <f t="shared" si="139"/>
        <v>0</v>
      </c>
      <c r="BK158" s="108">
        <f t="shared" si="140"/>
        <v>0</v>
      </c>
      <c r="BL158" s="108">
        <f t="shared" si="141"/>
        <v>0</v>
      </c>
      <c r="BM158" s="108">
        <f t="shared" si="142"/>
        <v>0</v>
      </c>
      <c r="BN158" s="108">
        <f t="shared" si="143"/>
        <v>0</v>
      </c>
      <c r="BO158" s="108">
        <f t="shared" si="144"/>
        <v>0</v>
      </c>
      <c r="BP158" s="108">
        <f t="shared" si="145"/>
        <v>0</v>
      </c>
      <c r="BQ158" s="108">
        <f t="shared" si="146"/>
        <v>0</v>
      </c>
      <c r="BR158" s="108">
        <f t="shared" si="147"/>
        <v>0</v>
      </c>
      <c r="BS158" s="108">
        <f t="shared" si="148"/>
        <v>0</v>
      </c>
      <c r="BT158" s="108">
        <f t="shared" si="152"/>
        <v>0</v>
      </c>
    </row>
    <row r="159" spans="1:72" ht="25" customHeight="1" x14ac:dyDescent="0.3">
      <c r="A159" s="185"/>
      <c r="B159" s="116" t="s">
        <v>1067</v>
      </c>
      <c r="C159" s="126" t="s">
        <v>899</v>
      </c>
      <c r="D159" s="124" t="s">
        <v>323</v>
      </c>
      <c r="E159" s="116" t="s">
        <v>808</v>
      </c>
      <c r="F159" s="111">
        <v>7.33874530758</v>
      </c>
      <c r="G159" s="111">
        <v>134.473994304</v>
      </c>
      <c r="H159" s="295" t="s">
        <v>327</v>
      </c>
      <c r="I159" s="334" t="s">
        <v>859</v>
      </c>
      <c r="J159" s="112">
        <v>2020</v>
      </c>
      <c r="K159" s="295" t="s">
        <v>843</v>
      </c>
      <c r="L159" s="117">
        <v>201</v>
      </c>
      <c r="M159" s="118" t="s">
        <v>308</v>
      </c>
      <c r="N159" s="118" t="s">
        <v>298</v>
      </c>
      <c r="O159" s="118" t="s">
        <v>330</v>
      </c>
      <c r="P159" s="196" t="s">
        <v>322</v>
      </c>
      <c r="Q159" s="118" t="s">
        <v>309</v>
      </c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296"/>
      <c r="AC159" s="297">
        <f t="shared" si="153"/>
        <v>502500</v>
      </c>
      <c r="AD159" s="301">
        <f t="shared" si="150"/>
        <v>2512.5</v>
      </c>
      <c r="AE159" s="298"/>
      <c r="AJ159" s="108">
        <f t="shared" si="120"/>
        <v>0</v>
      </c>
      <c r="AK159" s="108">
        <f t="shared" si="121"/>
        <v>0</v>
      </c>
      <c r="AL159" s="108">
        <f t="shared" si="122"/>
        <v>0</v>
      </c>
      <c r="AM159" s="108">
        <f t="shared" si="123"/>
        <v>0</v>
      </c>
      <c r="AN159" s="108">
        <f t="shared" si="124"/>
        <v>0</v>
      </c>
      <c r="AO159" s="108">
        <f t="shared" si="125"/>
        <v>0</v>
      </c>
      <c r="AP159" s="108">
        <f t="shared" si="126"/>
        <v>0</v>
      </c>
      <c r="AQ159" s="108">
        <f t="shared" si="127"/>
        <v>0</v>
      </c>
      <c r="AR159" s="108">
        <f t="shared" si="128"/>
        <v>0</v>
      </c>
      <c r="AX159" s="108">
        <f t="shared" si="129"/>
        <v>0</v>
      </c>
      <c r="AY159" s="108">
        <f t="shared" si="130"/>
        <v>0</v>
      </c>
      <c r="AZ159" s="108">
        <f t="shared" si="131"/>
        <v>0</v>
      </c>
      <c r="BA159" s="108">
        <f t="shared" si="132"/>
        <v>0</v>
      </c>
      <c r="BB159" s="108">
        <f t="shared" si="133"/>
        <v>0</v>
      </c>
      <c r="BC159" s="108">
        <f t="shared" si="134"/>
        <v>0</v>
      </c>
      <c r="BD159" s="108">
        <f t="shared" si="135"/>
        <v>0</v>
      </c>
      <c r="BE159" s="108">
        <f t="shared" si="136"/>
        <v>0</v>
      </c>
      <c r="BF159" s="108">
        <f t="shared" si="137"/>
        <v>0</v>
      </c>
      <c r="BG159" s="108">
        <f t="shared" si="138"/>
        <v>0</v>
      </c>
      <c r="BH159" s="108">
        <f t="shared" si="151"/>
        <v>0</v>
      </c>
      <c r="BJ159" s="108">
        <f t="shared" si="139"/>
        <v>0</v>
      </c>
      <c r="BK159" s="108">
        <f t="shared" si="140"/>
        <v>0</v>
      </c>
      <c r="BL159" s="108">
        <f t="shared" si="141"/>
        <v>0</v>
      </c>
      <c r="BM159" s="108">
        <f t="shared" si="142"/>
        <v>0</v>
      </c>
      <c r="BN159" s="108">
        <f t="shared" si="143"/>
        <v>0</v>
      </c>
      <c r="BO159" s="108">
        <f t="shared" si="144"/>
        <v>0</v>
      </c>
      <c r="BP159" s="108">
        <f t="shared" si="145"/>
        <v>0</v>
      </c>
      <c r="BQ159" s="108">
        <f t="shared" si="146"/>
        <v>0</v>
      </c>
      <c r="BR159" s="108">
        <f t="shared" si="147"/>
        <v>0</v>
      </c>
      <c r="BS159" s="108">
        <f t="shared" si="148"/>
        <v>0</v>
      </c>
      <c r="BT159" s="108">
        <f t="shared" si="152"/>
        <v>0</v>
      </c>
    </row>
    <row r="160" spans="1:72" ht="25" customHeight="1" x14ac:dyDescent="0.3">
      <c r="A160" s="185"/>
      <c r="B160" s="116" t="s">
        <v>1068</v>
      </c>
      <c r="C160" s="126" t="s">
        <v>900</v>
      </c>
      <c r="D160" s="124" t="s">
        <v>323</v>
      </c>
      <c r="E160" s="116" t="s">
        <v>808</v>
      </c>
      <c r="F160" s="111">
        <v>7.33874530758</v>
      </c>
      <c r="G160" s="111">
        <v>134.473994304</v>
      </c>
      <c r="H160" s="295" t="s">
        <v>327</v>
      </c>
      <c r="I160" s="334" t="s">
        <v>859</v>
      </c>
      <c r="J160" s="112">
        <v>2020</v>
      </c>
      <c r="K160" s="295" t="s">
        <v>843</v>
      </c>
      <c r="L160" s="117">
        <v>229</v>
      </c>
      <c r="M160" s="118" t="s">
        <v>308</v>
      </c>
      <c r="N160" s="118" t="s">
        <v>298</v>
      </c>
      <c r="O160" s="118" t="s">
        <v>330</v>
      </c>
      <c r="P160" s="196" t="s">
        <v>322</v>
      </c>
      <c r="Q160" s="118" t="s">
        <v>309</v>
      </c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296"/>
      <c r="AC160" s="297">
        <f t="shared" si="153"/>
        <v>572500</v>
      </c>
      <c r="AD160" s="301">
        <f t="shared" si="150"/>
        <v>2862.5</v>
      </c>
      <c r="AE160" s="298"/>
      <c r="AJ160" s="108">
        <f t="shared" si="120"/>
        <v>0</v>
      </c>
      <c r="AK160" s="108">
        <f t="shared" si="121"/>
        <v>0</v>
      </c>
      <c r="AL160" s="108">
        <f t="shared" si="122"/>
        <v>0</v>
      </c>
      <c r="AM160" s="108">
        <f t="shared" si="123"/>
        <v>0</v>
      </c>
      <c r="AN160" s="108">
        <f t="shared" si="124"/>
        <v>0</v>
      </c>
      <c r="AO160" s="108">
        <f t="shared" si="125"/>
        <v>0</v>
      </c>
      <c r="AP160" s="108">
        <f t="shared" si="126"/>
        <v>0</v>
      </c>
      <c r="AQ160" s="108">
        <f t="shared" si="127"/>
        <v>0</v>
      </c>
      <c r="AR160" s="108">
        <f t="shared" si="128"/>
        <v>0</v>
      </c>
      <c r="AX160" s="108">
        <f t="shared" si="129"/>
        <v>0</v>
      </c>
      <c r="AY160" s="108">
        <f t="shared" si="130"/>
        <v>0</v>
      </c>
      <c r="AZ160" s="108">
        <f t="shared" si="131"/>
        <v>0</v>
      </c>
      <c r="BA160" s="108">
        <f t="shared" si="132"/>
        <v>0</v>
      </c>
      <c r="BB160" s="108">
        <f t="shared" si="133"/>
        <v>0</v>
      </c>
      <c r="BC160" s="108">
        <f t="shared" si="134"/>
        <v>0</v>
      </c>
      <c r="BD160" s="108">
        <f t="shared" si="135"/>
        <v>0</v>
      </c>
      <c r="BE160" s="108">
        <f t="shared" si="136"/>
        <v>0</v>
      </c>
      <c r="BF160" s="108">
        <f t="shared" si="137"/>
        <v>0</v>
      </c>
      <c r="BG160" s="108">
        <f t="shared" si="138"/>
        <v>0</v>
      </c>
      <c r="BH160" s="108">
        <f t="shared" si="151"/>
        <v>0</v>
      </c>
      <c r="BJ160" s="108">
        <f t="shared" si="139"/>
        <v>0</v>
      </c>
      <c r="BK160" s="108">
        <f t="shared" si="140"/>
        <v>0</v>
      </c>
      <c r="BL160" s="108">
        <f t="shared" si="141"/>
        <v>0</v>
      </c>
      <c r="BM160" s="108">
        <f t="shared" si="142"/>
        <v>0</v>
      </c>
      <c r="BN160" s="108">
        <f t="shared" si="143"/>
        <v>0</v>
      </c>
      <c r="BO160" s="108">
        <f t="shared" si="144"/>
        <v>0</v>
      </c>
      <c r="BP160" s="108">
        <f t="shared" si="145"/>
        <v>0</v>
      </c>
      <c r="BQ160" s="108">
        <f t="shared" si="146"/>
        <v>0</v>
      </c>
      <c r="BR160" s="108">
        <f t="shared" si="147"/>
        <v>0</v>
      </c>
      <c r="BS160" s="108">
        <f t="shared" si="148"/>
        <v>0</v>
      </c>
      <c r="BT160" s="108">
        <f t="shared" si="152"/>
        <v>0</v>
      </c>
    </row>
    <row r="161" spans="1:72" ht="25" customHeight="1" x14ac:dyDescent="0.3">
      <c r="A161" s="185"/>
      <c r="B161" s="116" t="s">
        <v>1069</v>
      </c>
      <c r="C161" s="126" t="s">
        <v>901</v>
      </c>
      <c r="D161" s="124" t="s">
        <v>323</v>
      </c>
      <c r="E161" s="116" t="s">
        <v>808</v>
      </c>
      <c r="F161" s="111">
        <v>7.33874530758</v>
      </c>
      <c r="G161" s="111">
        <v>134.473994304</v>
      </c>
      <c r="H161" s="295" t="s">
        <v>874</v>
      </c>
      <c r="I161" s="334" t="s">
        <v>859</v>
      </c>
      <c r="J161" s="112">
        <v>2020</v>
      </c>
      <c r="K161" s="295" t="s">
        <v>843</v>
      </c>
      <c r="L161" s="117">
        <v>223</v>
      </c>
      <c r="M161" s="118" t="s">
        <v>308</v>
      </c>
      <c r="N161" s="118" t="s">
        <v>298</v>
      </c>
      <c r="O161" s="118" t="s">
        <v>330</v>
      </c>
      <c r="P161" s="196" t="s">
        <v>322</v>
      </c>
      <c r="Q161" s="118" t="s">
        <v>309</v>
      </c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296"/>
      <c r="AC161" s="297">
        <f t="shared" si="153"/>
        <v>557500</v>
      </c>
      <c r="AD161" s="301">
        <f t="shared" si="150"/>
        <v>2787.5</v>
      </c>
      <c r="AE161" s="298"/>
      <c r="AJ161" s="108">
        <f t="shared" si="120"/>
        <v>0</v>
      </c>
      <c r="AK161" s="108">
        <f t="shared" si="121"/>
        <v>0</v>
      </c>
      <c r="AL161" s="108">
        <f t="shared" si="122"/>
        <v>0</v>
      </c>
      <c r="AM161" s="108">
        <f t="shared" si="123"/>
        <v>0</v>
      </c>
      <c r="AN161" s="108">
        <f t="shared" si="124"/>
        <v>0</v>
      </c>
      <c r="AO161" s="108">
        <f t="shared" si="125"/>
        <v>0</v>
      </c>
      <c r="AP161" s="108">
        <f t="shared" si="126"/>
        <v>0</v>
      </c>
      <c r="AQ161" s="108">
        <f t="shared" si="127"/>
        <v>0</v>
      </c>
      <c r="AR161" s="108">
        <f t="shared" si="128"/>
        <v>0</v>
      </c>
      <c r="AX161" s="108">
        <f t="shared" si="129"/>
        <v>0</v>
      </c>
      <c r="AY161" s="108">
        <f t="shared" si="130"/>
        <v>0</v>
      </c>
      <c r="AZ161" s="108">
        <f t="shared" si="131"/>
        <v>0</v>
      </c>
      <c r="BA161" s="108">
        <f t="shared" si="132"/>
        <v>0</v>
      </c>
      <c r="BB161" s="108">
        <f t="shared" si="133"/>
        <v>0</v>
      </c>
      <c r="BC161" s="108">
        <f t="shared" si="134"/>
        <v>0</v>
      </c>
      <c r="BD161" s="108">
        <f t="shared" si="135"/>
        <v>0</v>
      </c>
      <c r="BE161" s="108">
        <f t="shared" si="136"/>
        <v>0</v>
      </c>
      <c r="BF161" s="108">
        <f t="shared" si="137"/>
        <v>0</v>
      </c>
      <c r="BG161" s="108">
        <f t="shared" si="138"/>
        <v>0</v>
      </c>
      <c r="BH161" s="108">
        <f t="shared" si="151"/>
        <v>0</v>
      </c>
      <c r="BJ161" s="108">
        <f t="shared" si="139"/>
        <v>0</v>
      </c>
      <c r="BK161" s="108">
        <f t="shared" si="140"/>
        <v>0</v>
      </c>
      <c r="BL161" s="108">
        <f t="shared" si="141"/>
        <v>0</v>
      </c>
      <c r="BM161" s="108">
        <f t="shared" si="142"/>
        <v>0</v>
      </c>
      <c r="BN161" s="108">
        <f t="shared" si="143"/>
        <v>0</v>
      </c>
      <c r="BO161" s="108">
        <f t="shared" si="144"/>
        <v>0</v>
      </c>
      <c r="BP161" s="108">
        <f t="shared" si="145"/>
        <v>0</v>
      </c>
      <c r="BQ161" s="108">
        <f t="shared" si="146"/>
        <v>0</v>
      </c>
      <c r="BR161" s="108">
        <f t="shared" si="147"/>
        <v>0</v>
      </c>
      <c r="BS161" s="108">
        <f t="shared" si="148"/>
        <v>0</v>
      </c>
      <c r="BT161" s="108">
        <f t="shared" si="152"/>
        <v>0</v>
      </c>
    </row>
    <row r="162" spans="1:72" ht="25" customHeight="1" x14ac:dyDescent="0.3">
      <c r="A162" s="185"/>
      <c r="B162" s="116" t="s">
        <v>1070</v>
      </c>
      <c r="C162" s="126" t="s">
        <v>902</v>
      </c>
      <c r="D162" s="124" t="s">
        <v>323</v>
      </c>
      <c r="E162" s="116" t="s">
        <v>808</v>
      </c>
      <c r="F162" s="111">
        <v>7.33874530758</v>
      </c>
      <c r="G162" s="111">
        <v>134.473994304</v>
      </c>
      <c r="H162" s="295" t="s">
        <v>327</v>
      </c>
      <c r="I162" s="334" t="s">
        <v>859</v>
      </c>
      <c r="J162" s="112">
        <v>2020</v>
      </c>
      <c r="K162" s="295" t="s">
        <v>843</v>
      </c>
      <c r="L162" s="117">
        <v>200</v>
      </c>
      <c r="M162" s="118" t="s">
        <v>308</v>
      </c>
      <c r="N162" s="118" t="s">
        <v>298</v>
      </c>
      <c r="O162" s="118" t="s">
        <v>330</v>
      </c>
      <c r="P162" s="196" t="s">
        <v>322</v>
      </c>
      <c r="Q162" s="118" t="s">
        <v>309</v>
      </c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296"/>
      <c r="AC162" s="297">
        <f t="shared" si="153"/>
        <v>500000</v>
      </c>
      <c r="AD162" s="301">
        <f t="shared" si="150"/>
        <v>2500</v>
      </c>
      <c r="AE162" s="298"/>
      <c r="AJ162" s="108">
        <f t="shared" si="120"/>
        <v>0</v>
      </c>
      <c r="AK162" s="108">
        <f t="shared" si="121"/>
        <v>0</v>
      </c>
      <c r="AL162" s="108">
        <f t="shared" si="122"/>
        <v>0</v>
      </c>
      <c r="AM162" s="108">
        <f t="shared" si="123"/>
        <v>0</v>
      </c>
      <c r="AN162" s="108">
        <f t="shared" si="124"/>
        <v>0</v>
      </c>
      <c r="AO162" s="108">
        <f t="shared" si="125"/>
        <v>0</v>
      </c>
      <c r="AP162" s="108">
        <f t="shared" si="126"/>
        <v>0</v>
      </c>
      <c r="AQ162" s="108">
        <f t="shared" si="127"/>
        <v>0</v>
      </c>
      <c r="AR162" s="108">
        <f t="shared" si="128"/>
        <v>0</v>
      </c>
      <c r="AX162" s="108">
        <f t="shared" si="129"/>
        <v>0</v>
      </c>
      <c r="AY162" s="108">
        <f t="shared" si="130"/>
        <v>0</v>
      </c>
      <c r="AZ162" s="108">
        <f t="shared" si="131"/>
        <v>0</v>
      </c>
      <c r="BA162" s="108">
        <f t="shared" si="132"/>
        <v>0</v>
      </c>
      <c r="BB162" s="108">
        <f t="shared" si="133"/>
        <v>0</v>
      </c>
      <c r="BC162" s="108">
        <f t="shared" si="134"/>
        <v>0</v>
      </c>
      <c r="BD162" s="108">
        <f t="shared" si="135"/>
        <v>0</v>
      </c>
      <c r="BE162" s="108">
        <f t="shared" si="136"/>
        <v>0</v>
      </c>
      <c r="BF162" s="108">
        <f t="shared" si="137"/>
        <v>0</v>
      </c>
      <c r="BG162" s="108">
        <f t="shared" si="138"/>
        <v>0</v>
      </c>
      <c r="BH162" s="108">
        <f t="shared" si="151"/>
        <v>0</v>
      </c>
      <c r="BJ162" s="108">
        <f t="shared" si="139"/>
        <v>0</v>
      </c>
      <c r="BK162" s="108">
        <f t="shared" si="140"/>
        <v>0</v>
      </c>
      <c r="BL162" s="108">
        <f t="shared" si="141"/>
        <v>0</v>
      </c>
      <c r="BM162" s="108">
        <f t="shared" si="142"/>
        <v>0</v>
      </c>
      <c r="BN162" s="108">
        <f t="shared" si="143"/>
        <v>0</v>
      </c>
      <c r="BO162" s="108">
        <f t="shared" si="144"/>
        <v>0</v>
      </c>
      <c r="BP162" s="108">
        <f t="shared" si="145"/>
        <v>0</v>
      </c>
      <c r="BQ162" s="108">
        <f t="shared" si="146"/>
        <v>0</v>
      </c>
      <c r="BR162" s="108">
        <f t="shared" si="147"/>
        <v>0</v>
      </c>
      <c r="BS162" s="108">
        <f t="shared" si="148"/>
        <v>0</v>
      </c>
      <c r="BT162" s="108">
        <f t="shared" si="152"/>
        <v>0</v>
      </c>
    </row>
    <row r="163" spans="1:72" ht="25" customHeight="1" x14ac:dyDescent="0.3">
      <c r="A163" s="185"/>
      <c r="B163" s="116" t="s">
        <v>1071</v>
      </c>
      <c r="C163" s="126" t="s">
        <v>903</v>
      </c>
      <c r="D163" s="124" t="s">
        <v>323</v>
      </c>
      <c r="E163" s="116" t="s">
        <v>808</v>
      </c>
      <c r="F163" s="111">
        <v>7.33874530758</v>
      </c>
      <c r="G163" s="111">
        <v>134.473994304</v>
      </c>
      <c r="H163" s="295" t="s">
        <v>327</v>
      </c>
      <c r="I163" s="334" t="s">
        <v>859</v>
      </c>
      <c r="J163" s="112">
        <v>2020</v>
      </c>
      <c r="K163" s="295" t="s">
        <v>843</v>
      </c>
      <c r="L163" s="117">
        <v>357</v>
      </c>
      <c r="M163" s="118" t="s">
        <v>308</v>
      </c>
      <c r="N163" s="118" t="s">
        <v>298</v>
      </c>
      <c r="O163" s="118" t="s">
        <v>330</v>
      </c>
      <c r="P163" s="196" t="s">
        <v>322</v>
      </c>
      <c r="Q163" s="118" t="s">
        <v>309</v>
      </c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296"/>
      <c r="AC163" s="297">
        <f t="shared" si="153"/>
        <v>892500</v>
      </c>
      <c r="AD163" s="301">
        <f t="shared" si="150"/>
        <v>4462.5</v>
      </c>
      <c r="AE163" s="298"/>
      <c r="AJ163" s="108">
        <f t="shared" si="120"/>
        <v>0</v>
      </c>
      <c r="AK163" s="108">
        <f t="shared" si="121"/>
        <v>0</v>
      </c>
      <c r="AL163" s="108">
        <f t="shared" si="122"/>
        <v>0</v>
      </c>
      <c r="AM163" s="108">
        <f t="shared" si="123"/>
        <v>0</v>
      </c>
      <c r="AN163" s="108">
        <f t="shared" si="124"/>
        <v>0</v>
      </c>
      <c r="AO163" s="108">
        <f t="shared" si="125"/>
        <v>0</v>
      </c>
      <c r="AP163" s="108">
        <f t="shared" si="126"/>
        <v>0</v>
      </c>
      <c r="AQ163" s="108">
        <f t="shared" si="127"/>
        <v>0</v>
      </c>
      <c r="AR163" s="108">
        <f t="shared" si="128"/>
        <v>0</v>
      </c>
      <c r="AX163" s="108">
        <f t="shared" si="129"/>
        <v>0</v>
      </c>
      <c r="AY163" s="108">
        <f t="shared" si="130"/>
        <v>0</v>
      </c>
      <c r="AZ163" s="108">
        <f t="shared" si="131"/>
        <v>0</v>
      </c>
      <c r="BA163" s="108">
        <f t="shared" si="132"/>
        <v>0</v>
      </c>
      <c r="BB163" s="108">
        <f t="shared" si="133"/>
        <v>0</v>
      </c>
      <c r="BC163" s="108">
        <f t="shared" si="134"/>
        <v>0</v>
      </c>
      <c r="BD163" s="108">
        <f t="shared" si="135"/>
        <v>0</v>
      </c>
      <c r="BE163" s="108">
        <f t="shared" si="136"/>
        <v>0</v>
      </c>
      <c r="BF163" s="108">
        <f t="shared" si="137"/>
        <v>0</v>
      </c>
      <c r="BG163" s="108">
        <f t="shared" si="138"/>
        <v>0</v>
      </c>
      <c r="BH163" s="108">
        <f t="shared" si="151"/>
        <v>0</v>
      </c>
      <c r="BJ163" s="108">
        <f t="shared" si="139"/>
        <v>0</v>
      </c>
      <c r="BK163" s="108">
        <f t="shared" si="140"/>
        <v>0</v>
      </c>
      <c r="BL163" s="108">
        <f t="shared" si="141"/>
        <v>0</v>
      </c>
      <c r="BM163" s="108">
        <f t="shared" si="142"/>
        <v>0</v>
      </c>
      <c r="BN163" s="108">
        <f t="shared" si="143"/>
        <v>0</v>
      </c>
      <c r="BO163" s="108">
        <f t="shared" si="144"/>
        <v>0</v>
      </c>
      <c r="BP163" s="108">
        <f t="shared" si="145"/>
        <v>0</v>
      </c>
      <c r="BQ163" s="108">
        <f t="shared" si="146"/>
        <v>0</v>
      </c>
      <c r="BR163" s="108">
        <f t="shared" si="147"/>
        <v>0</v>
      </c>
      <c r="BS163" s="108">
        <f t="shared" si="148"/>
        <v>0</v>
      </c>
      <c r="BT163" s="108">
        <f t="shared" si="152"/>
        <v>0</v>
      </c>
    </row>
    <row r="164" spans="1:72" ht="25" customHeight="1" x14ac:dyDescent="0.3">
      <c r="A164" s="185"/>
      <c r="B164" s="116" t="s">
        <v>1072</v>
      </c>
      <c r="C164" s="126" t="s">
        <v>904</v>
      </c>
      <c r="D164" s="124" t="s">
        <v>323</v>
      </c>
      <c r="E164" s="116" t="s">
        <v>808</v>
      </c>
      <c r="F164" s="111">
        <v>7.33874530758</v>
      </c>
      <c r="G164" s="111">
        <v>134.473994304</v>
      </c>
      <c r="H164" s="295" t="s">
        <v>327</v>
      </c>
      <c r="I164" s="334" t="s">
        <v>859</v>
      </c>
      <c r="J164" s="112">
        <v>2019</v>
      </c>
      <c r="K164" s="295" t="s">
        <v>905</v>
      </c>
      <c r="L164" s="117">
        <v>111</v>
      </c>
      <c r="M164" s="118" t="s">
        <v>308</v>
      </c>
      <c r="N164" s="118" t="s">
        <v>298</v>
      </c>
      <c r="O164" s="118" t="s">
        <v>330</v>
      </c>
      <c r="P164" s="196" t="s">
        <v>322</v>
      </c>
      <c r="Q164" s="118" t="s">
        <v>309</v>
      </c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296"/>
      <c r="AC164" s="297">
        <f t="shared" si="153"/>
        <v>277500</v>
      </c>
      <c r="AD164" s="301">
        <f t="shared" si="150"/>
        <v>1387.5</v>
      </c>
      <c r="AE164" s="298"/>
      <c r="AJ164" s="108">
        <f t="shared" ref="AJ164:AJ195" si="154">IF(OR(R164=1,R164=2),$L164,0)</f>
        <v>0</v>
      </c>
      <c r="AK164" s="108">
        <f t="shared" ref="AK164:AK195" si="155">IF(OR(S164=1,S164=2),$L164,0)</f>
        <v>0</v>
      </c>
      <c r="AL164" s="108">
        <f t="shared" ref="AL164:AL195" si="156">IF(OR(T164=1,T164=2),$L164,0)</f>
        <v>0</v>
      </c>
      <c r="AM164" s="108">
        <f t="shared" ref="AM164:AM195" si="157">IF(OR(U164=1,U164=2),$L164,0)</f>
        <v>0</v>
      </c>
      <c r="AN164" s="108">
        <f t="shared" ref="AN164:AN195" si="158">IF(OR(V164=1,V164=2),$L164,0)</f>
        <v>0</v>
      </c>
      <c r="AO164" s="108">
        <f t="shared" ref="AO164:AO195" si="159">IF(OR(W164=1,W164=2),$L164,0)</f>
        <v>0</v>
      </c>
      <c r="AP164" s="108">
        <f t="shared" ref="AP164:AP195" si="160">IF(OR(X164=1,X164=2),$L164,0)</f>
        <v>0</v>
      </c>
      <c r="AQ164" s="108">
        <f t="shared" ref="AQ164:AQ195" si="161">IF(OR(Y164=1,Y164=2),$L164,0)</f>
        <v>0</v>
      </c>
      <c r="AR164" s="108">
        <f t="shared" ref="AR164:AR195" si="162">IF(OR(Z164=1,Z164=2),$L164,0)</f>
        <v>0</v>
      </c>
      <c r="AX164" s="108">
        <f t="shared" si="129"/>
        <v>0</v>
      </c>
      <c r="AY164" s="108">
        <f t="shared" si="130"/>
        <v>0</v>
      </c>
      <c r="AZ164" s="108">
        <f t="shared" si="131"/>
        <v>0</v>
      </c>
      <c r="BA164" s="108">
        <f t="shared" si="132"/>
        <v>0</v>
      </c>
      <c r="BB164" s="108">
        <f t="shared" si="133"/>
        <v>0</v>
      </c>
      <c r="BC164" s="108">
        <f t="shared" si="134"/>
        <v>0</v>
      </c>
      <c r="BD164" s="108">
        <f t="shared" si="135"/>
        <v>0</v>
      </c>
      <c r="BE164" s="108">
        <f t="shared" si="136"/>
        <v>0</v>
      </c>
      <c r="BF164" s="108">
        <f t="shared" si="137"/>
        <v>0</v>
      </c>
      <c r="BG164" s="108">
        <f t="shared" si="138"/>
        <v>0</v>
      </c>
      <c r="BH164" s="108">
        <f t="shared" si="151"/>
        <v>0</v>
      </c>
      <c r="BJ164" s="108">
        <f t="shared" si="139"/>
        <v>0</v>
      </c>
      <c r="BK164" s="108">
        <f t="shared" si="140"/>
        <v>0</v>
      </c>
      <c r="BL164" s="108">
        <f t="shared" si="141"/>
        <v>0</v>
      </c>
      <c r="BM164" s="108">
        <f t="shared" si="142"/>
        <v>0</v>
      </c>
      <c r="BN164" s="108">
        <f t="shared" si="143"/>
        <v>0</v>
      </c>
      <c r="BO164" s="108">
        <f t="shared" si="144"/>
        <v>0</v>
      </c>
      <c r="BP164" s="108">
        <f t="shared" si="145"/>
        <v>0</v>
      </c>
      <c r="BQ164" s="108">
        <f t="shared" si="146"/>
        <v>0</v>
      </c>
      <c r="BR164" s="108">
        <f t="shared" si="147"/>
        <v>0</v>
      </c>
      <c r="BS164" s="108">
        <f t="shared" si="148"/>
        <v>0</v>
      </c>
      <c r="BT164" s="108">
        <f t="shared" si="152"/>
        <v>0</v>
      </c>
    </row>
    <row r="165" spans="1:72" ht="25" customHeight="1" x14ac:dyDescent="0.3">
      <c r="A165" s="185"/>
      <c r="B165" s="116" t="s">
        <v>1073</v>
      </c>
      <c r="C165" s="126" t="s">
        <v>906</v>
      </c>
      <c r="D165" s="124" t="s">
        <v>323</v>
      </c>
      <c r="E165" s="116" t="s">
        <v>808</v>
      </c>
      <c r="F165" s="111">
        <v>7.33874530758</v>
      </c>
      <c r="G165" s="111">
        <v>134.473994304</v>
      </c>
      <c r="H165" s="295" t="s">
        <v>874</v>
      </c>
      <c r="I165" s="334" t="s">
        <v>859</v>
      </c>
      <c r="J165" s="112">
        <v>2019</v>
      </c>
      <c r="K165" s="295" t="s">
        <v>907</v>
      </c>
      <c r="L165" s="117">
        <v>307</v>
      </c>
      <c r="M165" s="118" t="s">
        <v>308</v>
      </c>
      <c r="N165" s="118" t="s">
        <v>298</v>
      </c>
      <c r="O165" s="118" t="s">
        <v>330</v>
      </c>
      <c r="P165" s="196" t="s">
        <v>322</v>
      </c>
      <c r="Q165" s="118" t="s">
        <v>309</v>
      </c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296"/>
      <c r="AC165" s="297">
        <f t="shared" si="153"/>
        <v>767500</v>
      </c>
      <c r="AD165" s="301">
        <f t="shared" si="150"/>
        <v>3837.5</v>
      </c>
      <c r="AE165" s="298"/>
      <c r="AJ165" s="108">
        <f t="shared" si="154"/>
        <v>0</v>
      </c>
      <c r="AK165" s="108">
        <f t="shared" si="155"/>
        <v>0</v>
      </c>
      <c r="AL165" s="108">
        <f t="shared" si="156"/>
        <v>0</v>
      </c>
      <c r="AM165" s="108">
        <f t="shared" si="157"/>
        <v>0</v>
      </c>
      <c r="AN165" s="108">
        <f t="shared" si="158"/>
        <v>0</v>
      </c>
      <c r="AO165" s="108">
        <f t="shared" si="159"/>
        <v>0</v>
      </c>
      <c r="AP165" s="108">
        <f t="shared" si="160"/>
        <v>0</v>
      </c>
      <c r="AQ165" s="108">
        <f t="shared" si="161"/>
        <v>0</v>
      </c>
      <c r="AR165" s="108">
        <f t="shared" si="162"/>
        <v>0</v>
      </c>
      <c r="AX165" s="108">
        <f t="shared" si="129"/>
        <v>0</v>
      </c>
      <c r="AY165" s="108">
        <f t="shared" si="130"/>
        <v>0</v>
      </c>
      <c r="AZ165" s="108">
        <f t="shared" si="131"/>
        <v>0</v>
      </c>
      <c r="BA165" s="108">
        <f t="shared" si="132"/>
        <v>0</v>
      </c>
      <c r="BB165" s="108">
        <f t="shared" si="133"/>
        <v>0</v>
      </c>
      <c r="BC165" s="108">
        <f t="shared" si="134"/>
        <v>0</v>
      </c>
      <c r="BD165" s="108">
        <f t="shared" si="135"/>
        <v>0</v>
      </c>
      <c r="BE165" s="108">
        <f t="shared" si="136"/>
        <v>0</v>
      </c>
      <c r="BF165" s="108">
        <f t="shared" si="137"/>
        <v>0</v>
      </c>
      <c r="BG165" s="108">
        <f t="shared" si="138"/>
        <v>0</v>
      </c>
      <c r="BH165" s="108">
        <f t="shared" si="151"/>
        <v>0</v>
      </c>
      <c r="BJ165" s="108">
        <f t="shared" si="139"/>
        <v>0</v>
      </c>
      <c r="BK165" s="108">
        <f t="shared" si="140"/>
        <v>0</v>
      </c>
      <c r="BL165" s="108">
        <f t="shared" si="141"/>
        <v>0</v>
      </c>
      <c r="BM165" s="108">
        <f t="shared" si="142"/>
        <v>0</v>
      </c>
      <c r="BN165" s="108">
        <f t="shared" si="143"/>
        <v>0</v>
      </c>
      <c r="BO165" s="108">
        <f t="shared" si="144"/>
        <v>0</v>
      </c>
      <c r="BP165" s="108">
        <f t="shared" si="145"/>
        <v>0</v>
      </c>
      <c r="BQ165" s="108">
        <f t="shared" si="146"/>
        <v>0</v>
      </c>
      <c r="BR165" s="108">
        <f t="shared" si="147"/>
        <v>0</v>
      </c>
      <c r="BS165" s="108">
        <f t="shared" si="148"/>
        <v>0</v>
      </c>
      <c r="BT165" s="108">
        <f t="shared" si="152"/>
        <v>0</v>
      </c>
    </row>
    <row r="166" spans="1:72" ht="25" customHeight="1" x14ac:dyDescent="0.3">
      <c r="A166" s="185"/>
      <c r="B166" s="116" t="s">
        <v>1074</v>
      </c>
      <c r="C166" s="126" t="s">
        <v>908</v>
      </c>
      <c r="D166" s="124" t="s">
        <v>323</v>
      </c>
      <c r="E166" s="116" t="s">
        <v>808</v>
      </c>
      <c r="F166" s="111">
        <v>7.33874530758</v>
      </c>
      <c r="G166" s="111">
        <v>134.473994304</v>
      </c>
      <c r="H166" s="295" t="s">
        <v>327</v>
      </c>
      <c r="I166" s="334" t="s">
        <v>859</v>
      </c>
      <c r="J166" s="112">
        <v>2019</v>
      </c>
      <c r="K166" s="295" t="s">
        <v>909</v>
      </c>
      <c r="L166" s="117">
        <v>251</v>
      </c>
      <c r="M166" s="118" t="s">
        <v>308</v>
      </c>
      <c r="N166" s="118" t="s">
        <v>298</v>
      </c>
      <c r="O166" s="118" t="s">
        <v>330</v>
      </c>
      <c r="P166" s="196" t="s">
        <v>322</v>
      </c>
      <c r="Q166" s="118" t="s">
        <v>309</v>
      </c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296"/>
      <c r="AC166" s="297">
        <f t="shared" si="153"/>
        <v>627500</v>
      </c>
      <c r="AD166" s="301">
        <f t="shared" si="150"/>
        <v>3137.5</v>
      </c>
      <c r="AE166" s="298"/>
      <c r="AJ166" s="108">
        <f t="shared" si="154"/>
        <v>0</v>
      </c>
      <c r="AK166" s="108">
        <f t="shared" si="155"/>
        <v>0</v>
      </c>
      <c r="AL166" s="108">
        <f t="shared" si="156"/>
        <v>0</v>
      </c>
      <c r="AM166" s="108">
        <f t="shared" si="157"/>
        <v>0</v>
      </c>
      <c r="AN166" s="108">
        <f t="shared" si="158"/>
        <v>0</v>
      </c>
      <c r="AO166" s="108">
        <f t="shared" si="159"/>
        <v>0</v>
      </c>
      <c r="AP166" s="108">
        <f t="shared" si="160"/>
        <v>0</v>
      </c>
      <c r="AQ166" s="108">
        <f t="shared" si="161"/>
        <v>0</v>
      </c>
      <c r="AR166" s="108">
        <f t="shared" si="162"/>
        <v>0</v>
      </c>
      <c r="AX166" s="108">
        <f t="shared" si="129"/>
        <v>0</v>
      </c>
      <c r="AY166" s="108">
        <f t="shared" si="130"/>
        <v>0</v>
      </c>
      <c r="AZ166" s="108">
        <f t="shared" si="131"/>
        <v>0</v>
      </c>
      <c r="BA166" s="108">
        <f t="shared" si="132"/>
        <v>0</v>
      </c>
      <c r="BB166" s="108">
        <f t="shared" si="133"/>
        <v>0</v>
      </c>
      <c r="BC166" s="108">
        <f t="shared" si="134"/>
        <v>0</v>
      </c>
      <c r="BD166" s="108">
        <f t="shared" si="135"/>
        <v>0</v>
      </c>
      <c r="BE166" s="108">
        <f t="shared" si="136"/>
        <v>0</v>
      </c>
      <c r="BF166" s="108">
        <f t="shared" si="137"/>
        <v>0</v>
      </c>
      <c r="BG166" s="108">
        <f t="shared" si="138"/>
        <v>0</v>
      </c>
      <c r="BH166" s="108">
        <f t="shared" si="151"/>
        <v>0</v>
      </c>
      <c r="BJ166" s="108">
        <f t="shared" si="139"/>
        <v>0</v>
      </c>
      <c r="BK166" s="108">
        <f t="shared" si="140"/>
        <v>0</v>
      </c>
      <c r="BL166" s="108">
        <f t="shared" si="141"/>
        <v>0</v>
      </c>
      <c r="BM166" s="108">
        <f t="shared" si="142"/>
        <v>0</v>
      </c>
      <c r="BN166" s="108">
        <f t="shared" si="143"/>
        <v>0</v>
      </c>
      <c r="BO166" s="108">
        <f t="shared" si="144"/>
        <v>0</v>
      </c>
      <c r="BP166" s="108">
        <f t="shared" si="145"/>
        <v>0</v>
      </c>
      <c r="BQ166" s="108">
        <f t="shared" si="146"/>
        <v>0</v>
      </c>
      <c r="BR166" s="108">
        <f t="shared" si="147"/>
        <v>0</v>
      </c>
      <c r="BS166" s="108">
        <f t="shared" si="148"/>
        <v>0</v>
      </c>
      <c r="BT166" s="108">
        <f t="shared" si="152"/>
        <v>0</v>
      </c>
    </row>
    <row r="167" spans="1:72" ht="25" customHeight="1" x14ac:dyDescent="0.3">
      <c r="A167" s="185"/>
      <c r="B167" s="116" t="s">
        <v>1075</v>
      </c>
      <c r="C167" s="126" t="s">
        <v>1444</v>
      </c>
      <c r="D167" s="124" t="s">
        <v>323</v>
      </c>
      <c r="E167" s="116" t="s">
        <v>910</v>
      </c>
      <c r="F167" s="111">
        <v>7.3551380897599996</v>
      </c>
      <c r="G167" s="111">
        <v>134.45989105000001</v>
      </c>
      <c r="H167" s="295" t="s">
        <v>327</v>
      </c>
      <c r="I167" s="334" t="s">
        <v>502</v>
      </c>
      <c r="J167" s="112" t="s">
        <v>848</v>
      </c>
      <c r="K167" s="295" t="s">
        <v>848</v>
      </c>
      <c r="L167" s="183">
        <v>209</v>
      </c>
      <c r="M167" s="118" t="s">
        <v>308</v>
      </c>
      <c r="N167" s="118" t="s">
        <v>298</v>
      </c>
      <c r="O167" s="118" t="s">
        <v>330</v>
      </c>
      <c r="P167" s="196" t="s">
        <v>322</v>
      </c>
      <c r="Q167" s="118" t="s">
        <v>309</v>
      </c>
      <c r="R167" s="154">
        <v>2</v>
      </c>
      <c r="S167" s="154">
        <v>4</v>
      </c>
      <c r="T167" s="154">
        <v>3</v>
      </c>
      <c r="U167" s="154">
        <v>2</v>
      </c>
      <c r="V167" s="154">
        <v>4</v>
      </c>
      <c r="W167" s="154">
        <v>3</v>
      </c>
      <c r="X167" s="154" t="s">
        <v>92</v>
      </c>
      <c r="Y167" s="154">
        <v>3</v>
      </c>
      <c r="Z167" s="154">
        <v>3</v>
      </c>
      <c r="AA167" s="154">
        <v>4</v>
      </c>
      <c r="AB167" s="296">
        <f t="shared" si="149"/>
        <v>66.315789473684205</v>
      </c>
      <c r="AC167" s="297">
        <f t="shared" si="153"/>
        <v>522500</v>
      </c>
      <c r="AD167" s="301">
        <f t="shared" si="150"/>
        <v>2612.5</v>
      </c>
      <c r="AE167" s="298"/>
      <c r="AJ167" s="108">
        <f t="shared" si="154"/>
        <v>209</v>
      </c>
      <c r="AK167" s="108">
        <f t="shared" si="155"/>
        <v>0</v>
      </c>
      <c r="AL167" s="108">
        <f t="shared" si="156"/>
        <v>0</v>
      </c>
      <c r="AM167" s="108">
        <f t="shared" si="157"/>
        <v>209</v>
      </c>
      <c r="AN167" s="108">
        <f t="shared" si="158"/>
        <v>0</v>
      </c>
      <c r="AO167" s="108">
        <f t="shared" si="159"/>
        <v>0</v>
      </c>
      <c r="AP167" s="108">
        <f t="shared" si="160"/>
        <v>0</v>
      </c>
      <c r="AQ167" s="108">
        <f t="shared" si="161"/>
        <v>0</v>
      </c>
      <c r="AR167" s="108">
        <f t="shared" si="162"/>
        <v>0</v>
      </c>
      <c r="AX167" s="108">
        <f t="shared" si="129"/>
        <v>2</v>
      </c>
      <c r="AY167" s="108">
        <f t="shared" si="130"/>
        <v>4</v>
      </c>
      <c r="AZ167" s="108">
        <f t="shared" si="131"/>
        <v>3</v>
      </c>
      <c r="BA167" s="108">
        <f t="shared" si="132"/>
        <v>2</v>
      </c>
      <c r="BB167" s="108">
        <f t="shared" si="133"/>
        <v>4</v>
      </c>
      <c r="BC167" s="108">
        <f t="shared" si="134"/>
        <v>3</v>
      </c>
      <c r="BD167" s="108">
        <f t="shared" si="135"/>
        <v>0</v>
      </c>
      <c r="BE167" s="108">
        <f t="shared" si="136"/>
        <v>3</v>
      </c>
      <c r="BF167" s="108">
        <f t="shared" si="137"/>
        <v>3</v>
      </c>
      <c r="BG167" s="108">
        <f t="shared" si="138"/>
        <v>4</v>
      </c>
      <c r="BH167" s="108">
        <f t="shared" si="151"/>
        <v>63</v>
      </c>
      <c r="BJ167" s="108">
        <f t="shared" si="139"/>
        <v>5</v>
      </c>
      <c r="BK167" s="108">
        <f t="shared" si="140"/>
        <v>5</v>
      </c>
      <c r="BL167" s="108">
        <f t="shared" si="141"/>
        <v>5</v>
      </c>
      <c r="BM167" s="108">
        <f t="shared" si="142"/>
        <v>5</v>
      </c>
      <c r="BN167" s="108">
        <f t="shared" si="143"/>
        <v>5</v>
      </c>
      <c r="BO167" s="108">
        <f t="shared" si="144"/>
        <v>5</v>
      </c>
      <c r="BP167" s="108">
        <f t="shared" si="145"/>
        <v>0</v>
      </c>
      <c r="BQ167" s="108">
        <f t="shared" si="146"/>
        <v>5</v>
      </c>
      <c r="BR167" s="108">
        <f t="shared" si="147"/>
        <v>5</v>
      </c>
      <c r="BS167" s="108">
        <f t="shared" si="148"/>
        <v>5</v>
      </c>
      <c r="BT167" s="108">
        <f t="shared" si="152"/>
        <v>95</v>
      </c>
    </row>
    <row r="168" spans="1:72" ht="25" customHeight="1" x14ac:dyDescent="0.3">
      <c r="A168" s="185"/>
      <c r="B168" s="116" t="s">
        <v>1076</v>
      </c>
      <c r="C168" s="126" t="s">
        <v>1445</v>
      </c>
      <c r="D168" s="124" t="s">
        <v>323</v>
      </c>
      <c r="E168" s="116" t="s">
        <v>910</v>
      </c>
      <c r="F168" s="111">
        <v>7.3551380897599996</v>
      </c>
      <c r="G168" s="111">
        <v>134.45989105000001</v>
      </c>
      <c r="H168" s="295" t="s">
        <v>327</v>
      </c>
      <c r="I168" s="334" t="s">
        <v>502</v>
      </c>
      <c r="J168" s="112" t="s">
        <v>848</v>
      </c>
      <c r="K168" s="295" t="s">
        <v>848</v>
      </c>
      <c r="L168" s="183">
        <v>219</v>
      </c>
      <c r="M168" s="118" t="s">
        <v>308</v>
      </c>
      <c r="N168" s="118" t="s">
        <v>298</v>
      </c>
      <c r="O168" s="118" t="s">
        <v>330</v>
      </c>
      <c r="P168" s="196" t="s">
        <v>322</v>
      </c>
      <c r="Q168" s="118" t="s">
        <v>309</v>
      </c>
      <c r="R168" s="154">
        <v>4</v>
      </c>
      <c r="S168" s="154">
        <v>4</v>
      </c>
      <c r="T168" s="154">
        <v>4</v>
      </c>
      <c r="U168" s="154">
        <v>4</v>
      </c>
      <c r="V168" s="154">
        <v>3</v>
      </c>
      <c r="W168" s="154">
        <v>3</v>
      </c>
      <c r="X168" s="154">
        <v>3</v>
      </c>
      <c r="Y168" s="154" t="s">
        <v>92</v>
      </c>
      <c r="Z168" s="154">
        <v>4</v>
      </c>
      <c r="AA168" s="154">
        <v>4</v>
      </c>
      <c r="AB168" s="296">
        <f t="shared" si="149"/>
        <v>76.84210526315789</v>
      </c>
      <c r="AC168" s="297">
        <f t="shared" si="153"/>
        <v>547500</v>
      </c>
      <c r="AD168" s="301">
        <f t="shared" si="150"/>
        <v>2737.5</v>
      </c>
      <c r="AE168" s="298"/>
      <c r="AJ168" s="108">
        <f t="shared" si="154"/>
        <v>0</v>
      </c>
      <c r="AK168" s="108">
        <f t="shared" si="155"/>
        <v>0</v>
      </c>
      <c r="AL168" s="108">
        <f t="shared" si="156"/>
        <v>0</v>
      </c>
      <c r="AM168" s="108">
        <f t="shared" si="157"/>
        <v>0</v>
      </c>
      <c r="AN168" s="108">
        <f t="shared" si="158"/>
        <v>0</v>
      </c>
      <c r="AO168" s="108">
        <f t="shared" si="159"/>
        <v>0</v>
      </c>
      <c r="AP168" s="108">
        <f t="shared" si="160"/>
        <v>0</v>
      </c>
      <c r="AQ168" s="108">
        <f t="shared" si="161"/>
        <v>0</v>
      </c>
      <c r="AR168" s="108">
        <f t="shared" si="162"/>
        <v>0</v>
      </c>
      <c r="AX168" s="108">
        <f t="shared" si="129"/>
        <v>4</v>
      </c>
      <c r="AY168" s="108">
        <f t="shared" si="130"/>
        <v>4</v>
      </c>
      <c r="AZ168" s="108">
        <f t="shared" si="131"/>
        <v>4</v>
      </c>
      <c r="BA168" s="108">
        <f t="shared" si="132"/>
        <v>4</v>
      </c>
      <c r="BB168" s="108">
        <f t="shared" si="133"/>
        <v>3</v>
      </c>
      <c r="BC168" s="108">
        <f t="shared" si="134"/>
        <v>3</v>
      </c>
      <c r="BD168" s="108">
        <f t="shared" si="135"/>
        <v>3</v>
      </c>
      <c r="BE168" s="108">
        <f t="shared" si="136"/>
        <v>0</v>
      </c>
      <c r="BF168" s="108">
        <f t="shared" si="137"/>
        <v>4</v>
      </c>
      <c r="BG168" s="108">
        <f t="shared" si="138"/>
        <v>4</v>
      </c>
      <c r="BH168" s="108">
        <f t="shared" si="151"/>
        <v>73</v>
      </c>
      <c r="BJ168" s="108">
        <f t="shared" si="139"/>
        <v>5</v>
      </c>
      <c r="BK168" s="108">
        <f t="shared" si="140"/>
        <v>5</v>
      </c>
      <c r="BL168" s="108">
        <f t="shared" si="141"/>
        <v>5</v>
      </c>
      <c r="BM168" s="108">
        <f t="shared" si="142"/>
        <v>5</v>
      </c>
      <c r="BN168" s="108">
        <f t="shared" si="143"/>
        <v>5</v>
      </c>
      <c r="BO168" s="108">
        <f t="shared" si="144"/>
        <v>5</v>
      </c>
      <c r="BP168" s="108">
        <f t="shared" si="145"/>
        <v>5</v>
      </c>
      <c r="BQ168" s="108">
        <f t="shared" si="146"/>
        <v>0</v>
      </c>
      <c r="BR168" s="108">
        <f t="shared" si="147"/>
        <v>5</v>
      </c>
      <c r="BS168" s="108">
        <f t="shared" si="148"/>
        <v>5</v>
      </c>
      <c r="BT168" s="108">
        <f t="shared" si="152"/>
        <v>95</v>
      </c>
    </row>
    <row r="169" spans="1:72" ht="25" customHeight="1" x14ac:dyDescent="0.3">
      <c r="A169" s="185"/>
      <c r="B169" s="116" t="s">
        <v>1449</v>
      </c>
      <c r="C169" s="126" t="s">
        <v>1446</v>
      </c>
      <c r="D169" s="124" t="s">
        <v>323</v>
      </c>
      <c r="E169" s="116" t="s">
        <v>910</v>
      </c>
      <c r="F169" s="111">
        <v>7.3551380897599996</v>
      </c>
      <c r="G169" s="111">
        <v>134.45989105000001</v>
      </c>
      <c r="H169" s="295" t="s">
        <v>327</v>
      </c>
      <c r="I169" s="334" t="s">
        <v>421</v>
      </c>
      <c r="J169" s="112" t="s">
        <v>848</v>
      </c>
      <c r="K169" s="295" t="s">
        <v>848</v>
      </c>
      <c r="L169" s="183">
        <v>250</v>
      </c>
      <c r="M169" s="118" t="s">
        <v>308</v>
      </c>
      <c r="N169" s="118" t="s">
        <v>298</v>
      </c>
      <c r="O169" s="118" t="s">
        <v>330</v>
      </c>
      <c r="P169" s="196" t="s">
        <v>322</v>
      </c>
      <c r="Q169" s="118" t="s">
        <v>309</v>
      </c>
      <c r="R169" s="154">
        <v>4</v>
      </c>
      <c r="S169" s="154">
        <v>4</v>
      </c>
      <c r="T169" s="154">
        <v>4</v>
      </c>
      <c r="U169" s="154">
        <v>2</v>
      </c>
      <c r="V169" s="154">
        <v>3</v>
      </c>
      <c r="W169" s="154">
        <v>4</v>
      </c>
      <c r="X169" s="154" t="s">
        <v>92</v>
      </c>
      <c r="Y169" s="154">
        <v>4</v>
      </c>
      <c r="Z169" s="154">
        <v>4</v>
      </c>
      <c r="AA169" s="154"/>
      <c r="AB169" s="296">
        <f t="shared" si="149"/>
        <v>76</v>
      </c>
      <c r="AC169" s="297">
        <f t="shared" si="153"/>
        <v>625000</v>
      </c>
      <c r="AD169" s="301">
        <f t="shared" si="150"/>
        <v>3125</v>
      </c>
      <c r="AE169" s="298"/>
      <c r="AJ169" s="108">
        <f t="shared" si="154"/>
        <v>0</v>
      </c>
      <c r="AK169" s="108">
        <f t="shared" si="155"/>
        <v>0</v>
      </c>
      <c r="AL169" s="108">
        <f t="shared" si="156"/>
        <v>0</v>
      </c>
      <c r="AM169" s="108">
        <f t="shared" si="157"/>
        <v>250</v>
      </c>
      <c r="AN169" s="108">
        <f t="shared" si="158"/>
        <v>0</v>
      </c>
      <c r="AO169" s="108">
        <f t="shared" si="159"/>
        <v>0</v>
      </c>
      <c r="AP169" s="108">
        <f t="shared" si="160"/>
        <v>0</v>
      </c>
      <c r="AQ169" s="108">
        <f t="shared" si="161"/>
        <v>0</v>
      </c>
      <c r="AR169" s="108">
        <f t="shared" si="162"/>
        <v>0</v>
      </c>
      <c r="AX169" s="108">
        <f t="shared" si="129"/>
        <v>4</v>
      </c>
      <c r="AY169" s="108">
        <f t="shared" si="130"/>
        <v>4</v>
      </c>
      <c r="AZ169" s="108">
        <f t="shared" si="131"/>
        <v>4</v>
      </c>
      <c r="BA169" s="108">
        <f t="shared" si="132"/>
        <v>2</v>
      </c>
      <c r="BB169" s="108">
        <f t="shared" si="133"/>
        <v>3</v>
      </c>
      <c r="BC169" s="108">
        <f t="shared" si="134"/>
        <v>4</v>
      </c>
      <c r="BD169" s="108">
        <f t="shared" si="135"/>
        <v>0</v>
      </c>
      <c r="BE169" s="108">
        <f t="shared" si="136"/>
        <v>4</v>
      </c>
      <c r="BF169" s="108">
        <f t="shared" si="137"/>
        <v>4</v>
      </c>
      <c r="BG169" s="108">
        <f t="shared" si="138"/>
        <v>0</v>
      </c>
      <c r="BH169" s="108">
        <f t="shared" si="151"/>
        <v>57</v>
      </c>
      <c r="BJ169" s="108">
        <f t="shared" si="139"/>
        <v>5</v>
      </c>
      <c r="BK169" s="108">
        <f t="shared" si="140"/>
        <v>5</v>
      </c>
      <c r="BL169" s="108">
        <f t="shared" si="141"/>
        <v>5</v>
      </c>
      <c r="BM169" s="108">
        <f t="shared" si="142"/>
        <v>5</v>
      </c>
      <c r="BN169" s="108">
        <f t="shared" si="143"/>
        <v>5</v>
      </c>
      <c r="BO169" s="108">
        <f t="shared" si="144"/>
        <v>5</v>
      </c>
      <c r="BP169" s="108">
        <f t="shared" si="145"/>
        <v>0</v>
      </c>
      <c r="BQ169" s="108">
        <f t="shared" si="146"/>
        <v>5</v>
      </c>
      <c r="BR169" s="108">
        <f t="shared" si="147"/>
        <v>5</v>
      </c>
      <c r="BS169" s="108">
        <f t="shared" si="148"/>
        <v>0</v>
      </c>
      <c r="BT169" s="108">
        <f t="shared" si="152"/>
        <v>75</v>
      </c>
    </row>
    <row r="170" spans="1:72" ht="25" customHeight="1" x14ac:dyDescent="0.3">
      <c r="A170" s="185"/>
      <c r="B170" s="116" t="s">
        <v>1450</v>
      </c>
      <c r="C170" s="126" t="s">
        <v>1447</v>
      </c>
      <c r="D170" s="124" t="s">
        <v>323</v>
      </c>
      <c r="E170" s="116" t="s">
        <v>910</v>
      </c>
      <c r="F170" s="111">
        <v>7.3551380897599996</v>
      </c>
      <c r="G170" s="111">
        <v>134.45989105000001</v>
      </c>
      <c r="H170" s="295" t="s">
        <v>874</v>
      </c>
      <c r="I170" s="334" t="s">
        <v>502</v>
      </c>
      <c r="J170" s="112" t="s">
        <v>848</v>
      </c>
      <c r="K170" s="295" t="s">
        <v>848</v>
      </c>
      <c r="L170" s="183">
        <v>502</v>
      </c>
      <c r="M170" s="118" t="s">
        <v>308</v>
      </c>
      <c r="N170" s="118" t="s">
        <v>298</v>
      </c>
      <c r="O170" s="118" t="s">
        <v>330</v>
      </c>
      <c r="P170" s="196" t="s">
        <v>322</v>
      </c>
      <c r="Q170" s="118" t="s">
        <v>309</v>
      </c>
      <c r="R170" s="154">
        <v>4</v>
      </c>
      <c r="S170" s="154">
        <v>2</v>
      </c>
      <c r="T170" s="154">
        <v>4</v>
      </c>
      <c r="U170" s="154">
        <v>4</v>
      </c>
      <c r="V170" s="154">
        <v>2</v>
      </c>
      <c r="W170" s="154">
        <v>3</v>
      </c>
      <c r="X170" s="154" t="s">
        <v>92</v>
      </c>
      <c r="Y170" s="154" t="s">
        <v>92</v>
      </c>
      <c r="Z170" s="154">
        <v>3</v>
      </c>
      <c r="AA170" s="154">
        <v>4</v>
      </c>
      <c r="AB170" s="296">
        <f t="shared" si="149"/>
        <v>64.444444444444443</v>
      </c>
      <c r="AC170" s="297">
        <f t="shared" si="153"/>
        <v>1255000</v>
      </c>
      <c r="AD170" s="301">
        <f t="shared" si="150"/>
        <v>6275</v>
      </c>
      <c r="AE170" s="298"/>
      <c r="AJ170" s="108">
        <f t="shared" si="154"/>
        <v>0</v>
      </c>
      <c r="AK170" s="108">
        <f t="shared" si="155"/>
        <v>502</v>
      </c>
      <c r="AL170" s="108">
        <f t="shared" si="156"/>
        <v>0</v>
      </c>
      <c r="AM170" s="108">
        <f t="shared" si="157"/>
        <v>0</v>
      </c>
      <c r="AN170" s="108">
        <f t="shared" si="158"/>
        <v>502</v>
      </c>
      <c r="AO170" s="108">
        <f t="shared" si="159"/>
        <v>0</v>
      </c>
      <c r="AP170" s="108">
        <f t="shared" si="160"/>
        <v>0</v>
      </c>
      <c r="AQ170" s="108">
        <f t="shared" si="161"/>
        <v>0</v>
      </c>
      <c r="AR170" s="108">
        <f t="shared" si="162"/>
        <v>0</v>
      </c>
      <c r="AX170" s="108">
        <f t="shared" si="129"/>
        <v>4</v>
      </c>
      <c r="AY170" s="108">
        <f t="shared" si="130"/>
        <v>2</v>
      </c>
      <c r="AZ170" s="108">
        <f t="shared" si="131"/>
        <v>4</v>
      </c>
      <c r="BA170" s="108">
        <f t="shared" si="132"/>
        <v>4</v>
      </c>
      <c r="BB170" s="108">
        <f t="shared" si="133"/>
        <v>2</v>
      </c>
      <c r="BC170" s="108">
        <f t="shared" si="134"/>
        <v>3</v>
      </c>
      <c r="BD170" s="108">
        <f t="shared" si="135"/>
        <v>0</v>
      </c>
      <c r="BE170" s="108">
        <f t="shared" si="136"/>
        <v>0</v>
      </c>
      <c r="BF170" s="108">
        <f t="shared" si="137"/>
        <v>3</v>
      </c>
      <c r="BG170" s="108">
        <f t="shared" si="138"/>
        <v>4</v>
      </c>
      <c r="BH170" s="108">
        <f t="shared" si="151"/>
        <v>58</v>
      </c>
      <c r="BJ170" s="108">
        <f t="shared" si="139"/>
        <v>5</v>
      </c>
      <c r="BK170" s="108">
        <f t="shared" si="140"/>
        <v>5</v>
      </c>
      <c r="BL170" s="108">
        <f t="shared" si="141"/>
        <v>5</v>
      </c>
      <c r="BM170" s="108">
        <f t="shared" si="142"/>
        <v>5</v>
      </c>
      <c r="BN170" s="108">
        <f t="shared" si="143"/>
        <v>5</v>
      </c>
      <c r="BO170" s="108">
        <f t="shared" si="144"/>
        <v>5</v>
      </c>
      <c r="BP170" s="108">
        <f t="shared" si="145"/>
        <v>0</v>
      </c>
      <c r="BQ170" s="108">
        <f t="shared" si="146"/>
        <v>0</v>
      </c>
      <c r="BR170" s="108">
        <f t="shared" si="147"/>
        <v>5</v>
      </c>
      <c r="BS170" s="108">
        <f t="shared" si="148"/>
        <v>5</v>
      </c>
      <c r="BT170" s="108">
        <f t="shared" si="152"/>
        <v>90</v>
      </c>
    </row>
    <row r="171" spans="1:72" ht="25" customHeight="1" x14ac:dyDescent="0.3">
      <c r="A171" s="185"/>
      <c r="B171" s="116" t="s">
        <v>1451</v>
      </c>
      <c r="C171" s="126" t="s">
        <v>1448</v>
      </c>
      <c r="D171" s="124" t="s">
        <v>323</v>
      </c>
      <c r="E171" s="116" t="s">
        <v>910</v>
      </c>
      <c r="F171" s="111">
        <v>7.3551380897599996</v>
      </c>
      <c r="G171" s="111">
        <v>134.45989105000001</v>
      </c>
      <c r="H171" s="295" t="s">
        <v>327</v>
      </c>
      <c r="I171" s="334" t="s">
        <v>421</v>
      </c>
      <c r="J171" s="112" t="s">
        <v>848</v>
      </c>
      <c r="K171" s="295" t="s">
        <v>848</v>
      </c>
      <c r="L171" s="183">
        <v>74</v>
      </c>
      <c r="M171" s="118" t="s">
        <v>308</v>
      </c>
      <c r="N171" s="118" t="s">
        <v>298</v>
      </c>
      <c r="O171" s="118" t="s">
        <v>330</v>
      </c>
      <c r="P171" s="196" t="s">
        <v>322</v>
      </c>
      <c r="Q171" s="118" t="s">
        <v>309</v>
      </c>
      <c r="R171" s="154">
        <v>2</v>
      </c>
      <c r="S171" s="154">
        <v>2</v>
      </c>
      <c r="T171" s="154">
        <v>2</v>
      </c>
      <c r="U171" s="154">
        <v>2</v>
      </c>
      <c r="V171" s="154">
        <v>4</v>
      </c>
      <c r="W171" s="154">
        <v>2</v>
      </c>
      <c r="X171" s="154">
        <v>3</v>
      </c>
      <c r="Y171" s="154">
        <v>3</v>
      </c>
      <c r="Z171" s="154">
        <v>3</v>
      </c>
      <c r="AA171" s="154">
        <v>3</v>
      </c>
      <c r="AB171" s="296">
        <f t="shared" si="149"/>
        <v>49</v>
      </c>
      <c r="AC171" s="297">
        <f t="shared" si="153"/>
        <v>185000</v>
      </c>
      <c r="AD171" s="301">
        <f t="shared" si="150"/>
        <v>925</v>
      </c>
      <c r="AE171" s="298"/>
      <c r="AJ171" s="108">
        <f t="shared" si="154"/>
        <v>74</v>
      </c>
      <c r="AK171" s="108">
        <f t="shared" si="155"/>
        <v>74</v>
      </c>
      <c r="AL171" s="108">
        <f t="shared" si="156"/>
        <v>74</v>
      </c>
      <c r="AM171" s="108">
        <f t="shared" si="157"/>
        <v>74</v>
      </c>
      <c r="AN171" s="108">
        <f t="shared" si="158"/>
        <v>0</v>
      </c>
      <c r="AO171" s="108">
        <f t="shared" si="159"/>
        <v>74</v>
      </c>
      <c r="AP171" s="108">
        <f t="shared" si="160"/>
        <v>0</v>
      </c>
      <c r="AQ171" s="108">
        <f t="shared" si="161"/>
        <v>0</v>
      </c>
      <c r="AR171" s="108">
        <f t="shared" si="162"/>
        <v>0</v>
      </c>
      <c r="AX171" s="108">
        <f t="shared" si="129"/>
        <v>2</v>
      </c>
      <c r="AY171" s="108">
        <f t="shared" si="130"/>
        <v>2</v>
      </c>
      <c r="AZ171" s="108">
        <f t="shared" si="131"/>
        <v>2</v>
      </c>
      <c r="BA171" s="108">
        <f t="shared" si="132"/>
        <v>2</v>
      </c>
      <c r="BB171" s="108">
        <f t="shared" si="133"/>
        <v>4</v>
      </c>
      <c r="BC171" s="108">
        <f t="shared" si="134"/>
        <v>2</v>
      </c>
      <c r="BD171" s="108">
        <f t="shared" si="135"/>
        <v>3</v>
      </c>
      <c r="BE171" s="108">
        <f t="shared" si="136"/>
        <v>3</v>
      </c>
      <c r="BF171" s="108">
        <f t="shared" si="137"/>
        <v>3</v>
      </c>
      <c r="BG171" s="108">
        <f t="shared" si="138"/>
        <v>3</v>
      </c>
      <c r="BH171" s="108">
        <f t="shared" si="151"/>
        <v>49</v>
      </c>
      <c r="BJ171" s="108">
        <f t="shared" si="139"/>
        <v>5</v>
      </c>
      <c r="BK171" s="108">
        <f t="shared" si="140"/>
        <v>5</v>
      </c>
      <c r="BL171" s="108">
        <f t="shared" si="141"/>
        <v>5</v>
      </c>
      <c r="BM171" s="108">
        <f t="shared" si="142"/>
        <v>5</v>
      </c>
      <c r="BN171" s="108">
        <f t="shared" si="143"/>
        <v>5</v>
      </c>
      <c r="BO171" s="108">
        <f t="shared" si="144"/>
        <v>5</v>
      </c>
      <c r="BP171" s="108">
        <f t="shared" si="145"/>
        <v>5</v>
      </c>
      <c r="BQ171" s="108">
        <f t="shared" si="146"/>
        <v>5</v>
      </c>
      <c r="BR171" s="108">
        <f t="shared" si="147"/>
        <v>5</v>
      </c>
      <c r="BS171" s="108">
        <f t="shared" si="148"/>
        <v>5</v>
      </c>
      <c r="BT171" s="108">
        <f t="shared" si="152"/>
        <v>100</v>
      </c>
    </row>
    <row r="172" spans="1:72" ht="25" customHeight="1" x14ac:dyDescent="0.3">
      <c r="A172" s="185"/>
      <c r="B172" s="116" t="s">
        <v>1452</v>
      </c>
      <c r="C172" s="126" t="s">
        <v>1398</v>
      </c>
      <c r="D172" s="124" t="s">
        <v>323</v>
      </c>
      <c r="E172" s="116" t="s">
        <v>788</v>
      </c>
      <c r="F172" s="111">
        <v>7.3427216298099998</v>
      </c>
      <c r="G172" s="111">
        <v>134.47129755500001</v>
      </c>
      <c r="H172" s="295" t="s">
        <v>874</v>
      </c>
      <c r="I172" s="334" t="s">
        <v>502</v>
      </c>
      <c r="J172" s="112">
        <v>2006</v>
      </c>
      <c r="K172" s="295" t="s">
        <v>843</v>
      </c>
      <c r="L172" s="183">
        <v>485</v>
      </c>
      <c r="M172" s="118" t="s">
        <v>308</v>
      </c>
      <c r="N172" s="118" t="s">
        <v>298</v>
      </c>
      <c r="O172" s="118" t="s">
        <v>1399</v>
      </c>
      <c r="P172" s="196" t="s">
        <v>298</v>
      </c>
      <c r="Q172" s="118" t="s">
        <v>309</v>
      </c>
      <c r="R172" s="154">
        <v>1</v>
      </c>
      <c r="S172" s="154">
        <v>1</v>
      </c>
      <c r="T172" s="154">
        <v>3</v>
      </c>
      <c r="U172" s="154">
        <v>1</v>
      </c>
      <c r="V172" s="154">
        <v>4</v>
      </c>
      <c r="W172" s="154">
        <v>4</v>
      </c>
      <c r="X172" s="154">
        <v>3</v>
      </c>
      <c r="Y172" s="154">
        <v>5</v>
      </c>
      <c r="Z172" s="154">
        <v>3</v>
      </c>
      <c r="AA172" s="154">
        <v>3</v>
      </c>
      <c r="AB172" s="296">
        <f t="shared" si="149"/>
        <v>46</v>
      </c>
      <c r="AC172" s="297">
        <f t="shared" si="153"/>
        <v>1212500</v>
      </c>
      <c r="AD172" s="301">
        <f t="shared" si="150"/>
        <v>6062.5</v>
      </c>
      <c r="AE172" s="298"/>
      <c r="AJ172" s="108">
        <f t="shared" si="154"/>
        <v>485</v>
      </c>
      <c r="AK172" s="108">
        <f t="shared" si="155"/>
        <v>485</v>
      </c>
      <c r="AL172" s="108">
        <f t="shared" si="156"/>
        <v>0</v>
      </c>
      <c r="AM172" s="108">
        <f t="shared" si="157"/>
        <v>485</v>
      </c>
      <c r="AN172" s="108">
        <f t="shared" si="158"/>
        <v>0</v>
      </c>
      <c r="AO172" s="108">
        <f t="shared" si="159"/>
        <v>0</v>
      </c>
      <c r="AP172" s="108">
        <f t="shared" si="160"/>
        <v>0</v>
      </c>
      <c r="AQ172" s="108">
        <f t="shared" si="161"/>
        <v>0</v>
      </c>
      <c r="AR172" s="108">
        <f t="shared" si="162"/>
        <v>0</v>
      </c>
      <c r="AX172" s="108">
        <f t="shared" si="129"/>
        <v>1</v>
      </c>
      <c r="AY172" s="108">
        <f t="shared" si="130"/>
        <v>1</v>
      </c>
      <c r="AZ172" s="108">
        <f t="shared" si="131"/>
        <v>3</v>
      </c>
      <c r="BA172" s="108">
        <f t="shared" si="132"/>
        <v>1</v>
      </c>
      <c r="BB172" s="108">
        <f t="shared" si="133"/>
        <v>4</v>
      </c>
      <c r="BC172" s="108">
        <f t="shared" si="134"/>
        <v>4</v>
      </c>
      <c r="BD172" s="108">
        <f t="shared" si="135"/>
        <v>3</v>
      </c>
      <c r="BE172" s="108">
        <f t="shared" si="136"/>
        <v>5</v>
      </c>
      <c r="BF172" s="108">
        <f t="shared" si="137"/>
        <v>3</v>
      </c>
      <c r="BG172" s="108">
        <f t="shared" si="138"/>
        <v>3</v>
      </c>
      <c r="BH172" s="108">
        <f t="shared" si="151"/>
        <v>46</v>
      </c>
      <c r="BJ172" s="108">
        <f t="shared" si="139"/>
        <v>5</v>
      </c>
      <c r="BK172" s="108">
        <f t="shared" si="140"/>
        <v>5</v>
      </c>
      <c r="BL172" s="108">
        <f t="shared" si="141"/>
        <v>5</v>
      </c>
      <c r="BM172" s="108">
        <f t="shared" si="142"/>
        <v>5</v>
      </c>
      <c r="BN172" s="108">
        <f t="shared" si="143"/>
        <v>5</v>
      </c>
      <c r="BO172" s="108">
        <f t="shared" si="144"/>
        <v>5</v>
      </c>
      <c r="BP172" s="108">
        <f t="shared" si="145"/>
        <v>5</v>
      </c>
      <c r="BQ172" s="108">
        <f t="shared" si="146"/>
        <v>5</v>
      </c>
      <c r="BR172" s="108">
        <f t="shared" si="147"/>
        <v>5</v>
      </c>
      <c r="BS172" s="108">
        <f t="shared" si="148"/>
        <v>5</v>
      </c>
      <c r="BT172" s="108">
        <f t="shared" si="152"/>
        <v>100</v>
      </c>
    </row>
    <row r="173" spans="1:72" ht="25" customHeight="1" x14ac:dyDescent="0.3">
      <c r="A173" s="185"/>
      <c r="B173" s="116" t="s">
        <v>1453</v>
      </c>
      <c r="C173" s="126" t="s">
        <v>1400</v>
      </c>
      <c r="D173" s="124" t="s">
        <v>323</v>
      </c>
      <c r="E173" s="116" t="s">
        <v>788</v>
      </c>
      <c r="F173" s="111">
        <v>7.3427216298099998</v>
      </c>
      <c r="G173" s="111">
        <v>134.47129755500001</v>
      </c>
      <c r="H173" s="295" t="s">
        <v>1401</v>
      </c>
      <c r="I173" s="334" t="s">
        <v>859</v>
      </c>
      <c r="J173" s="112">
        <v>2005</v>
      </c>
      <c r="K173" s="295" t="s">
        <v>1402</v>
      </c>
      <c r="L173" s="183">
        <v>178</v>
      </c>
      <c r="M173" s="118" t="s">
        <v>308</v>
      </c>
      <c r="N173" s="118" t="s">
        <v>298</v>
      </c>
      <c r="O173" s="118" t="s">
        <v>1399</v>
      </c>
      <c r="P173" s="196" t="s">
        <v>322</v>
      </c>
      <c r="Q173" s="118" t="s">
        <v>309</v>
      </c>
      <c r="R173" s="154">
        <v>4</v>
      </c>
      <c r="S173" s="154">
        <v>3</v>
      </c>
      <c r="T173" s="154">
        <v>4</v>
      </c>
      <c r="U173" s="154">
        <v>3</v>
      </c>
      <c r="V173" s="154">
        <v>4</v>
      </c>
      <c r="W173" s="154">
        <v>3</v>
      </c>
      <c r="X173" s="154" t="s">
        <v>92</v>
      </c>
      <c r="Y173" s="154">
        <v>3</v>
      </c>
      <c r="Z173" s="154">
        <v>3</v>
      </c>
      <c r="AA173" s="154">
        <v>3</v>
      </c>
      <c r="AB173" s="296">
        <f t="shared" si="149"/>
        <v>66.315789473684205</v>
      </c>
      <c r="AC173" s="297">
        <f t="shared" si="153"/>
        <v>445000</v>
      </c>
      <c r="AD173" s="301">
        <f t="shared" si="150"/>
        <v>2225</v>
      </c>
      <c r="AE173" s="298"/>
      <c r="AJ173" s="108">
        <f t="shared" si="154"/>
        <v>0</v>
      </c>
      <c r="AK173" s="108">
        <f t="shared" si="155"/>
        <v>0</v>
      </c>
      <c r="AL173" s="108">
        <f t="shared" si="156"/>
        <v>0</v>
      </c>
      <c r="AM173" s="108">
        <f t="shared" si="157"/>
        <v>0</v>
      </c>
      <c r="AN173" s="108">
        <f t="shared" si="158"/>
        <v>0</v>
      </c>
      <c r="AO173" s="108">
        <f t="shared" si="159"/>
        <v>0</v>
      </c>
      <c r="AP173" s="108">
        <f t="shared" si="160"/>
        <v>0</v>
      </c>
      <c r="AQ173" s="108">
        <f t="shared" si="161"/>
        <v>0</v>
      </c>
      <c r="AR173" s="108">
        <f t="shared" si="162"/>
        <v>0</v>
      </c>
      <c r="AX173" s="108">
        <f t="shared" si="129"/>
        <v>4</v>
      </c>
      <c r="AY173" s="108">
        <f t="shared" si="130"/>
        <v>3</v>
      </c>
      <c r="AZ173" s="108">
        <f t="shared" si="131"/>
        <v>4</v>
      </c>
      <c r="BA173" s="108">
        <f t="shared" si="132"/>
        <v>3</v>
      </c>
      <c r="BB173" s="108">
        <f t="shared" si="133"/>
        <v>4</v>
      </c>
      <c r="BC173" s="108">
        <f t="shared" si="134"/>
        <v>3</v>
      </c>
      <c r="BD173" s="108">
        <f t="shared" si="135"/>
        <v>0</v>
      </c>
      <c r="BE173" s="108">
        <f t="shared" si="136"/>
        <v>3</v>
      </c>
      <c r="BF173" s="108">
        <f t="shared" si="137"/>
        <v>3</v>
      </c>
      <c r="BG173" s="108">
        <f t="shared" si="138"/>
        <v>3</v>
      </c>
      <c r="BH173" s="108">
        <f t="shared" si="151"/>
        <v>63</v>
      </c>
      <c r="BJ173" s="108">
        <f t="shared" si="139"/>
        <v>5</v>
      </c>
      <c r="BK173" s="108">
        <f t="shared" si="140"/>
        <v>5</v>
      </c>
      <c r="BL173" s="108">
        <f t="shared" si="141"/>
        <v>5</v>
      </c>
      <c r="BM173" s="108">
        <f t="shared" si="142"/>
        <v>5</v>
      </c>
      <c r="BN173" s="108">
        <f t="shared" si="143"/>
        <v>5</v>
      </c>
      <c r="BO173" s="108">
        <f t="shared" si="144"/>
        <v>5</v>
      </c>
      <c r="BP173" s="108">
        <f t="shared" si="145"/>
        <v>0</v>
      </c>
      <c r="BQ173" s="108">
        <f t="shared" si="146"/>
        <v>5</v>
      </c>
      <c r="BR173" s="108">
        <f t="shared" si="147"/>
        <v>5</v>
      </c>
      <c r="BS173" s="108">
        <f t="shared" si="148"/>
        <v>5</v>
      </c>
      <c r="BT173" s="108">
        <f t="shared" si="152"/>
        <v>95</v>
      </c>
    </row>
    <row r="174" spans="1:72" ht="25" customHeight="1" x14ac:dyDescent="0.3">
      <c r="A174" s="185"/>
      <c r="B174" s="116" t="s">
        <v>1454</v>
      </c>
      <c r="C174" s="126" t="s">
        <v>1403</v>
      </c>
      <c r="D174" s="124" t="s">
        <v>323</v>
      </c>
      <c r="E174" s="116" t="s">
        <v>788</v>
      </c>
      <c r="F174" s="111">
        <v>7.3427216298099998</v>
      </c>
      <c r="G174" s="111">
        <v>134.47129755500001</v>
      </c>
      <c r="H174" s="295" t="s">
        <v>1401</v>
      </c>
      <c r="I174" s="334">
        <v>2013</v>
      </c>
      <c r="J174" s="112" t="s">
        <v>848</v>
      </c>
      <c r="K174" s="295" t="s">
        <v>848</v>
      </c>
      <c r="L174" s="183">
        <v>437</v>
      </c>
      <c r="M174" s="118" t="s">
        <v>308</v>
      </c>
      <c r="N174" s="118" t="s">
        <v>298</v>
      </c>
      <c r="O174" s="118" t="s">
        <v>1399</v>
      </c>
      <c r="P174" s="196" t="s">
        <v>322</v>
      </c>
      <c r="Q174" s="118" t="s">
        <v>309</v>
      </c>
      <c r="R174" s="154">
        <v>5</v>
      </c>
      <c r="S174" s="154">
        <v>5</v>
      </c>
      <c r="T174" s="154">
        <v>5</v>
      </c>
      <c r="U174" s="154">
        <v>5</v>
      </c>
      <c r="V174" s="154">
        <v>5</v>
      </c>
      <c r="W174" s="154">
        <v>4</v>
      </c>
      <c r="X174" s="154">
        <v>4</v>
      </c>
      <c r="Y174" s="154">
        <v>4</v>
      </c>
      <c r="Z174" s="154">
        <v>5</v>
      </c>
      <c r="AA174" s="154">
        <v>5</v>
      </c>
      <c r="AB174" s="296">
        <f t="shared" si="149"/>
        <v>97</v>
      </c>
      <c r="AC174" s="297">
        <f t="shared" si="153"/>
        <v>1092500</v>
      </c>
      <c r="AD174" s="301">
        <f t="shared" si="150"/>
        <v>5462.5</v>
      </c>
      <c r="AE174" s="298"/>
      <c r="AJ174" s="108">
        <f t="shared" si="154"/>
        <v>0</v>
      </c>
      <c r="AK174" s="108">
        <f t="shared" si="155"/>
        <v>0</v>
      </c>
      <c r="AL174" s="108">
        <f t="shared" si="156"/>
        <v>0</v>
      </c>
      <c r="AM174" s="108">
        <f t="shared" si="157"/>
        <v>0</v>
      </c>
      <c r="AN174" s="108">
        <f t="shared" si="158"/>
        <v>0</v>
      </c>
      <c r="AO174" s="108">
        <f t="shared" si="159"/>
        <v>0</v>
      </c>
      <c r="AP174" s="108">
        <f t="shared" si="160"/>
        <v>0</v>
      </c>
      <c r="AQ174" s="108">
        <f t="shared" si="161"/>
        <v>0</v>
      </c>
      <c r="AR174" s="108">
        <f t="shared" si="162"/>
        <v>0</v>
      </c>
      <c r="AX174" s="108">
        <f t="shared" si="129"/>
        <v>5</v>
      </c>
      <c r="AY174" s="108">
        <f t="shared" si="130"/>
        <v>5</v>
      </c>
      <c r="AZ174" s="108">
        <f t="shared" si="131"/>
        <v>5</v>
      </c>
      <c r="BA174" s="108">
        <f t="shared" si="132"/>
        <v>5</v>
      </c>
      <c r="BB174" s="108">
        <f t="shared" si="133"/>
        <v>5</v>
      </c>
      <c r="BC174" s="108">
        <f t="shared" si="134"/>
        <v>4</v>
      </c>
      <c r="BD174" s="108">
        <f t="shared" si="135"/>
        <v>4</v>
      </c>
      <c r="BE174" s="108">
        <f t="shared" si="136"/>
        <v>4</v>
      </c>
      <c r="BF174" s="108">
        <f t="shared" si="137"/>
        <v>5</v>
      </c>
      <c r="BG174" s="108">
        <f t="shared" si="138"/>
        <v>5</v>
      </c>
      <c r="BH174" s="108">
        <f t="shared" si="151"/>
        <v>97</v>
      </c>
      <c r="BJ174" s="108">
        <f t="shared" si="139"/>
        <v>5</v>
      </c>
      <c r="BK174" s="108">
        <f t="shared" si="140"/>
        <v>5</v>
      </c>
      <c r="BL174" s="108">
        <f t="shared" si="141"/>
        <v>5</v>
      </c>
      <c r="BM174" s="108">
        <f t="shared" si="142"/>
        <v>5</v>
      </c>
      <c r="BN174" s="108">
        <f t="shared" si="143"/>
        <v>5</v>
      </c>
      <c r="BO174" s="108">
        <f t="shared" si="144"/>
        <v>5</v>
      </c>
      <c r="BP174" s="108">
        <f t="shared" si="145"/>
        <v>5</v>
      </c>
      <c r="BQ174" s="108">
        <f t="shared" si="146"/>
        <v>5</v>
      </c>
      <c r="BR174" s="108">
        <f t="shared" si="147"/>
        <v>5</v>
      </c>
      <c r="BS174" s="108">
        <f t="shared" si="148"/>
        <v>5</v>
      </c>
      <c r="BT174" s="108">
        <f t="shared" si="152"/>
        <v>100</v>
      </c>
    </row>
    <row r="175" spans="1:72" ht="25" customHeight="1" x14ac:dyDescent="0.3">
      <c r="A175" s="185"/>
      <c r="B175" s="116" t="s">
        <v>1455</v>
      </c>
      <c r="C175" s="126" t="s">
        <v>1404</v>
      </c>
      <c r="D175" s="124" t="s">
        <v>323</v>
      </c>
      <c r="E175" s="116" t="s">
        <v>788</v>
      </c>
      <c r="F175" s="111">
        <v>7.3427216298099998</v>
      </c>
      <c r="G175" s="111">
        <v>134.47129755500001</v>
      </c>
      <c r="H175" s="295" t="s">
        <v>1405</v>
      </c>
      <c r="I175" s="334">
        <v>2004</v>
      </c>
      <c r="J175" s="112" t="s">
        <v>848</v>
      </c>
      <c r="K175" s="295" t="s">
        <v>848</v>
      </c>
      <c r="L175" s="183">
        <v>93</v>
      </c>
      <c r="M175" s="118" t="s">
        <v>308</v>
      </c>
      <c r="N175" s="118" t="s">
        <v>298</v>
      </c>
      <c r="O175" s="118" t="s">
        <v>1399</v>
      </c>
      <c r="P175" s="196" t="s">
        <v>328</v>
      </c>
      <c r="Q175" s="118" t="s">
        <v>309</v>
      </c>
      <c r="R175" s="154">
        <v>2</v>
      </c>
      <c r="S175" s="154">
        <v>2</v>
      </c>
      <c r="T175" s="154">
        <v>2</v>
      </c>
      <c r="U175" s="154">
        <v>2</v>
      </c>
      <c r="V175" s="154">
        <v>4</v>
      </c>
      <c r="W175" s="154">
        <v>2</v>
      </c>
      <c r="X175" s="154" t="s">
        <v>92</v>
      </c>
      <c r="Y175" s="154">
        <v>3</v>
      </c>
      <c r="Z175" s="154">
        <v>3</v>
      </c>
      <c r="AA175" s="154">
        <v>2</v>
      </c>
      <c r="AB175" s="296">
        <f t="shared" si="149"/>
        <v>44.210526315789473</v>
      </c>
      <c r="AC175" s="297">
        <f t="shared" si="153"/>
        <v>232500</v>
      </c>
      <c r="AD175" s="301">
        <f t="shared" si="150"/>
        <v>1162.5</v>
      </c>
      <c r="AE175" s="298"/>
      <c r="AJ175" s="108">
        <f t="shared" si="154"/>
        <v>93</v>
      </c>
      <c r="AK175" s="108">
        <f t="shared" si="155"/>
        <v>93</v>
      </c>
      <c r="AL175" s="108">
        <f t="shared" si="156"/>
        <v>93</v>
      </c>
      <c r="AM175" s="108">
        <f t="shared" si="157"/>
        <v>93</v>
      </c>
      <c r="AN175" s="108">
        <f t="shared" si="158"/>
        <v>0</v>
      </c>
      <c r="AO175" s="108">
        <f t="shared" si="159"/>
        <v>93</v>
      </c>
      <c r="AP175" s="108">
        <f t="shared" si="160"/>
        <v>0</v>
      </c>
      <c r="AQ175" s="108">
        <f t="shared" si="161"/>
        <v>0</v>
      </c>
      <c r="AR175" s="108">
        <f t="shared" si="162"/>
        <v>0</v>
      </c>
      <c r="AX175" s="108">
        <f t="shared" si="129"/>
        <v>2</v>
      </c>
      <c r="AY175" s="108">
        <f t="shared" si="130"/>
        <v>2</v>
      </c>
      <c r="AZ175" s="108">
        <f t="shared" si="131"/>
        <v>2</v>
      </c>
      <c r="BA175" s="108">
        <f t="shared" si="132"/>
        <v>2</v>
      </c>
      <c r="BB175" s="108">
        <f t="shared" si="133"/>
        <v>4</v>
      </c>
      <c r="BC175" s="108">
        <f t="shared" si="134"/>
        <v>2</v>
      </c>
      <c r="BD175" s="108">
        <f t="shared" si="135"/>
        <v>0</v>
      </c>
      <c r="BE175" s="108">
        <f t="shared" si="136"/>
        <v>3</v>
      </c>
      <c r="BF175" s="108">
        <f t="shared" si="137"/>
        <v>3</v>
      </c>
      <c r="BG175" s="108">
        <f t="shared" si="138"/>
        <v>2</v>
      </c>
      <c r="BH175" s="108">
        <f t="shared" si="151"/>
        <v>42</v>
      </c>
      <c r="BJ175" s="108">
        <f t="shared" si="139"/>
        <v>5</v>
      </c>
      <c r="BK175" s="108">
        <f t="shared" si="140"/>
        <v>5</v>
      </c>
      <c r="BL175" s="108">
        <f t="shared" si="141"/>
        <v>5</v>
      </c>
      <c r="BM175" s="108">
        <f t="shared" si="142"/>
        <v>5</v>
      </c>
      <c r="BN175" s="108">
        <f t="shared" si="143"/>
        <v>5</v>
      </c>
      <c r="BO175" s="108">
        <f t="shared" si="144"/>
        <v>5</v>
      </c>
      <c r="BP175" s="108">
        <f t="shared" si="145"/>
        <v>0</v>
      </c>
      <c r="BQ175" s="108">
        <f t="shared" si="146"/>
        <v>5</v>
      </c>
      <c r="BR175" s="108">
        <f t="shared" si="147"/>
        <v>5</v>
      </c>
      <c r="BS175" s="108">
        <f t="shared" si="148"/>
        <v>5</v>
      </c>
      <c r="BT175" s="108">
        <f t="shared" si="152"/>
        <v>95</v>
      </c>
    </row>
    <row r="176" spans="1:72" ht="25" customHeight="1" x14ac:dyDescent="0.3">
      <c r="A176" s="185"/>
      <c r="B176" s="116" t="s">
        <v>1456</v>
      </c>
      <c r="C176" s="126" t="s">
        <v>1406</v>
      </c>
      <c r="D176" s="124" t="s">
        <v>323</v>
      </c>
      <c r="E176" s="116" t="s">
        <v>788</v>
      </c>
      <c r="F176" s="111">
        <v>7.3427216298099998</v>
      </c>
      <c r="G176" s="111">
        <v>134.47129755500001</v>
      </c>
      <c r="H176" s="295" t="s">
        <v>1401</v>
      </c>
      <c r="I176" s="334" t="s">
        <v>859</v>
      </c>
      <c r="J176" s="112">
        <v>2013</v>
      </c>
      <c r="K176" s="295" t="s">
        <v>1407</v>
      </c>
      <c r="L176" s="183">
        <v>279</v>
      </c>
      <c r="M176" s="118" t="s">
        <v>308</v>
      </c>
      <c r="N176" s="118" t="s">
        <v>298</v>
      </c>
      <c r="O176" s="118" t="s">
        <v>1399</v>
      </c>
      <c r="P176" s="196" t="s">
        <v>298</v>
      </c>
      <c r="Q176" s="118" t="s">
        <v>309</v>
      </c>
      <c r="R176" s="154">
        <v>4</v>
      </c>
      <c r="S176" s="154">
        <v>4</v>
      </c>
      <c r="T176" s="154">
        <v>4</v>
      </c>
      <c r="U176" s="154">
        <v>3</v>
      </c>
      <c r="V176" s="154">
        <v>4</v>
      </c>
      <c r="W176" s="154">
        <v>3</v>
      </c>
      <c r="X176" s="154">
        <v>2</v>
      </c>
      <c r="Y176" s="154" t="s">
        <v>92</v>
      </c>
      <c r="Z176" s="154">
        <v>2</v>
      </c>
      <c r="AA176" s="154">
        <v>4</v>
      </c>
      <c r="AB176" s="296">
        <f t="shared" si="149"/>
        <v>73.68421052631578</v>
      </c>
      <c r="AC176" s="297">
        <f t="shared" si="153"/>
        <v>697500</v>
      </c>
      <c r="AD176" s="301">
        <f t="shared" si="150"/>
        <v>3487.5</v>
      </c>
      <c r="AE176" s="298"/>
      <c r="AJ176" s="108">
        <f t="shared" si="154"/>
        <v>0</v>
      </c>
      <c r="AK176" s="108">
        <f t="shared" si="155"/>
        <v>0</v>
      </c>
      <c r="AL176" s="108">
        <f t="shared" si="156"/>
        <v>0</v>
      </c>
      <c r="AM176" s="108">
        <f t="shared" si="157"/>
        <v>0</v>
      </c>
      <c r="AN176" s="108">
        <f t="shared" si="158"/>
        <v>0</v>
      </c>
      <c r="AO176" s="108">
        <f t="shared" si="159"/>
        <v>0</v>
      </c>
      <c r="AP176" s="108">
        <f t="shared" si="160"/>
        <v>279</v>
      </c>
      <c r="AQ176" s="108">
        <f t="shared" si="161"/>
        <v>0</v>
      </c>
      <c r="AR176" s="108">
        <f t="shared" si="162"/>
        <v>279</v>
      </c>
      <c r="AX176" s="108">
        <f t="shared" si="129"/>
        <v>4</v>
      </c>
      <c r="AY176" s="108">
        <f t="shared" si="130"/>
        <v>4</v>
      </c>
      <c r="AZ176" s="108">
        <f t="shared" si="131"/>
        <v>4</v>
      </c>
      <c r="BA176" s="108">
        <f t="shared" si="132"/>
        <v>3</v>
      </c>
      <c r="BB176" s="108">
        <f t="shared" si="133"/>
        <v>4</v>
      </c>
      <c r="BC176" s="108">
        <f t="shared" si="134"/>
        <v>3</v>
      </c>
      <c r="BD176" s="108">
        <f t="shared" si="135"/>
        <v>2</v>
      </c>
      <c r="BE176" s="108">
        <f t="shared" si="136"/>
        <v>0</v>
      </c>
      <c r="BF176" s="108">
        <f t="shared" si="137"/>
        <v>2</v>
      </c>
      <c r="BG176" s="108">
        <f t="shared" si="138"/>
        <v>4</v>
      </c>
      <c r="BH176" s="108">
        <f t="shared" si="151"/>
        <v>70</v>
      </c>
      <c r="BJ176" s="108">
        <f t="shared" si="139"/>
        <v>5</v>
      </c>
      <c r="BK176" s="108">
        <f t="shared" si="140"/>
        <v>5</v>
      </c>
      <c r="BL176" s="108">
        <f t="shared" si="141"/>
        <v>5</v>
      </c>
      <c r="BM176" s="108">
        <f t="shared" si="142"/>
        <v>5</v>
      </c>
      <c r="BN176" s="108">
        <f t="shared" si="143"/>
        <v>5</v>
      </c>
      <c r="BO176" s="108">
        <f t="shared" si="144"/>
        <v>5</v>
      </c>
      <c r="BP176" s="108">
        <f t="shared" si="145"/>
        <v>5</v>
      </c>
      <c r="BQ176" s="108">
        <f t="shared" si="146"/>
        <v>0</v>
      </c>
      <c r="BR176" s="108">
        <f t="shared" si="147"/>
        <v>5</v>
      </c>
      <c r="BS176" s="108">
        <f t="shared" si="148"/>
        <v>5</v>
      </c>
      <c r="BT176" s="108">
        <f t="shared" si="152"/>
        <v>95</v>
      </c>
    </row>
    <row r="177" spans="1:72" ht="25" customHeight="1" x14ac:dyDescent="0.3">
      <c r="A177" s="185"/>
      <c r="B177" s="116" t="s">
        <v>1457</v>
      </c>
      <c r="C177" s="126" t="s">
        <v>1408</v>
      </c>
      <c r="D177" s="124" t="s">
        <v>323</v>
      </c>
      <c r="E177" s="116" t="s">
        <v>788</v>
      </c>
      <c r="F177" s="111">
        <v>7.3427216298099998</v>
      </c>
      <c r="G177" s="111">
        <v>134.47129755500001</v>
      </c>
      <c r="H177" s="295" t="s">
        <v>1401</v>
      </c>
      <c r="I177" s="334" t="s">
        <v>859</v>
      </c>
      <c r="J177" s="112">
        <v>2013</v>
      </c>
      <c r="K177" s="295" t="s">
        <v>1407</v>
      </c>
      <c r="L177" s="183">
        <v>279</v>
      </c>
      <c r="M177" s="118" t="s">
        <v>308</v>
      </c>
      <c r="N177" s="118" t="s">
        <v>298</v>
      </c>
      <c r="O177" s="118" t="s">
        <v>1399</v>
      </c>
      <c r="P177" s="196" t="s">
        <v>298</v>
      </c>
      <c r="Q177" s="118" t="s">
        <v>309</v>
      </c>
      <c r="R177" s="154">
        <v>3</v>
      </c>
      <c r="S177" s="154">
        <v>3</v>
      </c>
      <c r="T177" s="154">
        <v>3</v>
      </c>
      <c r="U177" s="154">
        <v>2</v>
      </c>
      <c r="V177" s="154">
        <v>3</v>
      </c>
      <c r="W177" s="154">
        <v>3</v>
      </c>
      <c r="X177" s="154">
        <v>1</v>
      </c>
      <c r="Y177" s="154">
        <v>3</v>
      </c>
      <c r="Z177" s="154">
        <v>2</v>
      </c>
      <c r="AA177" s="154">
        <v>3</v>
      </c>
      <c r="AB177" s="296">
        <f t="shared" si="149"/>
        <v>56.000000000000007</v>
      </c>
      <c r="AC177" s="297">
        <f t="shared" si="153"/>
        <v>697500</v>
      </c>
      <c r="AD177" s="301">
        <f t="shared" si="150"/>
        <v>3487.5</v>
      </c>
      <c r="AE177" s="298"/>
      <c r="AJ177" s="108">
        <f t="shared" si="154"/>
        <v>0</v>
      </c>
      <c r="AK177" s="108">
        <f t="shared" si="155"/>
        <v>0</v>
      </c>
      <c r="AL177" s="108">
        <f t="shared" si="156"/>
        <v>0</v>
      </c>
      <c r="AM177" s="108">
        <f t="shared" si="157"/>
        <v>279</v>
      </c>
      <c r="AN177" s="108">
        <f t="shared" si="158"/>
        <v>0</v>
      </c>
      <c r="AO177" s="108">
        <f t="shared" si="159"/>
        <v>0</v>
      </c>
      <c r="AP177" s="108">
        <f t="shared" si="160"/>
        <v>279</v>
      </c>
      <c r="AQ177" s="108">
        <f t="shared" si="161"/>
        <v>0</v>
      </c>
      <c r="AR177" s="108">
        <f t="shared" si="162"/>
        <v>279</v>
      </c>
      <c r="AX177" s="108">
        <f t="shared" si="129"/>
        <v>3</v>
      </c>
      <c r="AY177" s="108">
        <f t="shared" si="130"/>
        <v>3</v>
      </c>
      <c r="AZ177" s="108">
        <f t="shared" si="131"/>
        <v>3</v>
      </c>
      <c r="BA177" s="108">
        <f t="shared" si="132"/>
        <v>2</v>
      </c>
      <c r="BB177" s="108">
        <f t="shared" si="133"/>
        <v>3</v>
      </c>
      <c r="BC177" s="108">
        <f t="shared" si="134"/>
        <v>3</v>
      </c>
      <c r="BD177" s="108">
        <f t="shared" si="135"/>
        <v>1</v>
      </c>
      <c r="BE177" s="108">
        <f t="shared" si="136"/>
        <v>3</v>
      </c>
      <c r="BF177" s="108">
        <f t="shared" si="137"/>
        <v>2</v>
      </c>
      <c r="BG177" s="108">
        <f t="shared" si="138"/>
        <v>3</v>
      </c>
      <c r="BH177" s="108">
        <f t="shared" si="151"/>
        <v>56</v>
      </c>
      <c r="BJ177" s="108">
        <f t="shared" si="139"/>
        <v>5</v>
      </c>
      <c r="BK177" s="108">
        <f t="shared" si="140"/>
        <v>5</v>
      </c>
      <c r="BL177" s="108">
        <f t="shared" si="141"/>
        <v>5</v>
      </c>
      <c r="BM177" s="108">
        <f t="shared" si="142"/>
        <v>5</v>
      </c>
      <c r="BN177" s="108">
        <f t="shared" si="143"/>
        <v>5</v>
      </c>
      <c r="BO177" s="108">
        <f t="shared" si="144"/>
        <v>5</v>
      </c>
      <c r="BP177" s="108">
        <f t="shared" si="145"/>
        <v>5</v>
      </c>
      <c r="BQ177" s="108">
        <f t="shared" si="146"/>
        <v>5</v>
      </c>
      <c r="BR177" s="108">
        <f t="shared" si="147"/>
        <v>5</v>
      </c>
      <c r="BS177" s="108">
        <f t="shared" si="148"/>
        <v>5</v>
      </c>
      <c r="BT177" s="108">
        <f t="shared" si="152"/>
        <v>100</v>
      </c>
    </row>
    <row r="178" spans="1:72" ht="25" customHeight="1" x14ac:dyDescent="0.3">
      <c r="A178" s="185"/>
      <c r="B178" s="116" t="s">
        <v>1458</v>
      </c>
      <c r="C178" s="126" t="s">
        <v>1409</v>
      </c>
      <c r="D178" s="124" t="s">
        <v>323</v>
      </c>
      <c r="E178" s="116" t="s">
        <v>788</v>
      </c>
      <c r="F178" s="111">
        <v>7.3427216298099998</v>
      </c>
      <c r="G178" s="111">
        <v>134.47129755500001</v>
      </c>
      <c r="H178" s="295" t="s">
        <v>1401</v>
      </c>
      <c r="I178" s="334" t="s">
        <v>859</v>
      </c>
      <c r="J178" s="112">
        <v>2013</v>
      </c>
      <c r="K178" s="295" t="s">
        <v>1407</v>
      </c>
      <c r="L178" s="183">
        <v>279</v>
      </c>
      <c r="M178" s="118" t="s">
        <v>308</v>
      </c>
      <c r="N178" s="118" t="s">
        <v>298</v>
      </c>
      <c r="O178" s="118" t="s">
        <v>1399</v>
      </c>
      <c r="P178" s="196" t="s">
        <v>298</v>
      </c>
      <c r="Q178" s="118" t="s">
        <v>309</v>
      </c>
      <c r="R178" s="154">
        <v>4</v>
      </c>
      <c r="S178" s="154">
        <v>4</v>
      </c>
      <c r="T178" s="154">
        <v>4</v>
      </c>
      <c r="U178" s="154">
        <v>3</v>
      </c>
      <c r="V178" s="154">
        <v>3</v>
      </c>
      <c r="W178" s="154">
        <v>2</v>
      </c>
      <c r="X178" s="154">
        <v>2</v>
      </c>
      <c r="Y178" s="154">
        <v>3</v>
      </c>
      <c r="Z178" s="154">
        <v>3</v>
      </c>
      <c r="AA178" s="154">
        <v>4</v>
      </c>
      <c r="AB178" s="296">
        <f t="shared" si="149"/>
        <v>72</v>
      </c>
      <c r="AC178" s="297">
        <f t="shared" si="153"/>
        <v>697500</v>
      </c>
      <c r="AD178" s="301">
        <f t="shared" si="150"/>
        <v>3487.5</v>
      </c>
      <c r="AE178" s="298"/>
      <c r="AJ178" s="108">
        <f t="shared" si="154"/>
        <v>0</v>
      </c>
      <c r="AK178" s="108">
        <f t="shared" si="155"/>
        <v>0</v>
      </c>
      <c r="AL178" s="108">
        <f t="shared" si="156"/>
        <v>0</v>
      </c>
      <c r="AM178" s="108">
        <f t="shared" si="157"/>
        <v>0</v>
      </c>
      <c r="AN178" s="108">
        <f t="shared" si="158"/>
        <v>0</v>
      </c>
      <c r="AO178" s="108">
        <f t="shared" si="159"/>
        <v>279</v>
      </c>
      <c r="AP178" s="108">
        <f t="shared" si="160"/>
        <v>279</v>
      </c>
      <c r="AQ178" s="108">
        <f t="shared" si="161"/>
        <v>0</v>
      </c>
      <c r="AR178" s="108">
        <f t="shared" si="162"/>
        <v>0</v>
      </c>
      <c r="AX178" s="108">
        <f t="shared" si="129"/>
        <v>4</v>
      </c>
      <c r="AY178" s="108">
        <f t="shared" si="130"/>
        <v>4</v>
      </c>
      <c r="AZ178" s="108">
        <f t="shared" si="131"/>
        <v>4</v>
      </c>
      <c r="BA178" s="108">
        <f t="shared" si="132"/>
        <v>3</v>
      </c>
      <c r="BB178" s="108">
        <f t="shared" si="133"/>
        <v>3</v>
      </c>
      <c r="BC178" s="108">
        <f t="shared" si="134"/>
        <v>2</v>
      </c>
      <c r="BD178" s="108">
        <f t="shared" si="135"/>
        <v>2</v>
      </c>
      <c r="BE178" s="108">
        <f t="shared" si="136"/>
        <v>3</v>
      </c>
      <c r="BF178" s="108">
        <f t="shared" si="137"/>
        <v>3</v>
      </c>
      <c r="BG178" s="108">
        <f t="shared" si="138"/>
        <v>4</v>
      </c>
      <c r="BH178" s="108">
        <f t="shared" si="151"/>
        <v>72</v>
      </c>
      <c r="BJ178" s="108">
        <f t="shared" si="139"/>
        <v>5</v>
      </c>
      <c r="BK178" s="108">
        <f t="shared" si="140"/>
        <v>5</v>
      </c>
      <c r="BL178" s="108">
        <f t="shared" si="141"/>
        <v>5</v>
      </c>
      <c r="BM178" s="108">
        <f t="shared" si="142"/>
        <v>5</v>
      </c>
      <c r="BN178" s="108">
        <f t="shared" si="143"/>
        <v>5</v>
      </c>
      <c r="BO178" s="108">
        <f t="shared" si="144"/>
        <v>5</v>
      </c>
      <c r="BP178" s="108">
        <f t="shared" si="145"/>
        <v>5</v>
      </c>
      <c r="BQ178" s="108">
        <f t="shared" si="146"/>
        <v>5</v>
      </c>
      <c r="BR178" s="108">
        <f t="shared" si="147"/>
        <v>5</v>
      </c>
      <c r="BS178" s="108">
        <f t="shared" si="148"/>
        <v>5</v>
      </c>
      <c r="BT178" s="108">
        <f t="shared" si="152"/>
        <v>100</v>
      </c>
    </row>
    <row r="179" spans="1:72" ht="25" customHeight="1" x14ac:dyDescent="0.3">
      <c r="A179" s="185"/>
      <c r="B179" s="116" t="s">
        <v>1459</v>
      </c>
      <c r="C179" s="126" t="s">
        <v>1410</v>
      </c>
      <c r="D179" s="124" t="s">
        <v>323</v>
      </c>
      <c r="E179" s="116" t="s">
        <v>788</v>
      </c>
      <c r="F179" s="111">
        <v>7.3427216298099998</v>
      </c>
      <c r="G179" s="111">
        <v>134.47129755500001</v>
      </c>
      <c r="H179" s="295" t="s">
        <v>1401</v>
      </c>
      <c r="I179" s="334" t="s">
        <v>859</v>
      </c>
      <c r="J179" s="112">
        <v>2013</v>
      </c>
      <c r="K179" s="295" t="s">
        <v>1407</v>
      </c>
      <c r="L179" s="183">
        <v>279</v>
      </c>
      <c r="M179" s="118" t="s">
        <v>308</v>
      </c>
      <c r="N179" s="118" t="s">
        <v>298</v>
      </c>
      <c r="O179" s="118" t="s">
        <v>1399</v>
      </c>
      <c r="P179" s="196" t="s">
        <v>298</v>
      </c>
      <c r="Q179" s="118" t="s">
        <v>309</v>
      </c>
      <c r="R179" s="154">
        <v>4</v>
      </c>
      <c r="S179" s="154">
        <v>4</v>
      </c>
      <c r="T179" s="154">
        <v>4</v>
      </c>
      <c r="U179" s="154">
        <v>4</v>
      </c>
      <c r="V179" s="154">
        <v>4</v>
      </c>
      <c r="W179" s="154">
        <v>3</v>
      </c>
      <c r="X179" s="154" t="s">
        <v>92</v>
      </c>
      <c r="Y179" s="154">
        <v>3</v>
      </c>
      <c r="Z179" s="154">
        <v>1</v>
      </c>
      <c r="AA179" s="154">
        <v>3</v>
      </c>
      <c r="AB179" s="296">
        <f t="shared" si="149"/>
        <v>70.526315789473685</v>
      </c>
      <c r="AC179" s="297">
        <f t="shared" si="153"/>
        <v>697500</v>
      </c>
      <c r="AD179" s="301">
        <f t="shared" si="150"/>
        <v>3487.5</v>
      </c>
      <c r="AE179" s="298"/>
      <c r="AJ179" s="108">
        <f t="shared" si="154"/>
        <v>0</v>
      </c>
      <c r="AK179" s="108">
        <f t="shared" si="155"/>
        <v>0</v>
      </c>
      <c r="AL179" s="108">
        <f t="shared" si="156"/>
        <v>0</v>
      </c>
      <c r="AM179" s="108">
        <f t="shared" si="157"/>
        <v>0</v>
      </c>
      <c r="AN179" s="108">
        <f t="shared" si="158"/>
        <v>0</v>
      </c>
      <c r="AO179" s="108">
        <f t="shared" si="159"/>
        <v>0</v>
      </c>
      <c r="AP179" s="108">
        <f t="shared" si="160"/>
        <v>0</v>
      </c>
      <c r="AQ179" s="108">
        <f t="shared" si="161"/>
        <v>0</v>
      </c>
      <c r="AR179" s="108">
        <f t="shared" si="162"/>
        <v>279</v>
      </c>
      <c r="AX179" s="108">
        <f t="shared" si="129"/>
        <v>4</v>
      </c>
      <c r="AY179" s="108">
        <f t="shared" si="130"/>
        <v>4</v>
      </c>
      <c r="AZ179" s="108">
        <f t="shared" si="131"/>
        <v>4</v>
      </c>
      <c r="BA179" s="108">
        <f t="shared" si="132"/>
        <v>4</v>
      </c>
      <c r="BB179" s="108">
        <f t="shared" si="133"/>
        <v>4</v>
      </c>
      <c r="BC179" s="108">
        <f t="shared" si="134"/>
        <v>3</v>
      </c>
      <c r="BD179" s="108">
        <f t="shared" si="135"/>
        <v>0</v>
      </c>
      <c r="BE179" s="108">
        <f t="shared" si="136"/>
        <v>3</v>
      </c>
      <c r="BF179" s="108">
        <f t="shared" si="137"/>
        <v>1</v>
      </c>
      <c r="BG179" s="108">
        <f t="shared" si="138"/>
        <v>3</v>
      </c>
      <c r="BH179" s="108">
        <f t="shared" si="151"/>
        <v>67</v>
      </c>
      <c r="BJ179" s="108">
        <f t="shared" si="139"/>
        <v>5</v>
      </c>
      <c r="BK179" s="108">
        <f t="shared" si="140"/>
        <v>5</v>
      </c>
      <c r="BL179" s="108">
        <f t="shared" si="141"/>
        <v>5</v>
      </c>
      <c r="BM179" s="108">
        <f t="shared" si="142"/>
        <v>5</v>
      </c>
      <c r="BN179" s="108">
        <f t="shared" si="143"/>
        <v>5</v>
      </c>
      <c r="BO179" s="108">
        <f t="shared" si="144"/>
        <v>5</v>
      </c>
      <c r="BP179" s="108">
        <f t="shared" si="145"/>
        <v>0</v>
      </c>
      <c r="BQ179" s="108">
        <f t="shared" si="146"/>
        <v>5</v>
      </c>
      <c r="BR179" s="108">
        <f t="shared" si="147"/>
        <v>5</v>
      </c>
      <c r="BS179" s="108">
        <f t="shared" si="148"/>
        <v>5</v>
      </c>
      <c r="BT179" s="108">
        <f t="shared" si="152"/>
        <v>95</v>
      </c>
    </row>
    <row r="180" spans="1:72" ht="25" customHeight="1" x14ac:dyDescent="0.3">
      <c r="A180" s="185"/>
      <c r="B180" s="116" t="s">
        <v>1460</v>
      </c>
      <c r="C180" s="126" t="s">
        <v>1411</v>
      </c>
      <c r="D180" s="124" t="s">
        <v>323</v>
      </c>
      <c r="E180" s="116" t="s">
        <v>788</v>
      </c>
      <c r="F180" s="111">
        <v>7.3427216298099998</v>
      </c>
      <c r="G180" s="111">
        <v>134.47129755500001</v>
      </c>
      <c r="H180" s="295" t="s">
        <v>1412</v>
      </c>
      <c r="I180" s="334" t="s">
        <v>421</v>
      </c>
      <c r="J180" s="112" t="s">
        <v>848</v>
      </c>
      <c r="K180" s="295" t="s">
        <v>848</v>
      </c>
      <c r="L180" s="183">
        <v>104</v>
      </c>
      <c r="M180" s="118" t="s">
        <v>308</v>
      </c>
      <c r="N180" s="118" t="s">
        <v>298</v>
      </c>
      <c r="O180" s="118" t="s">
        <v>1399</v>
      </c>
      <c r="P180" s="196" t="s">
        <v>298</v>
      </c>
      <c r="Q180" s="118" t="s">
        <v>309</v>
      </c>
      <c r="R180" s="154">
        <v>5</v>
      </c>
      <c r="S180" s="154">
        <v>4</v>
      </c>
      <c r="T180" s="154" t="s">
        <v>92</v>
      </c>
      <c r="U180" s="154">
        <v>3</v>
      </c>
      <c r="V180" s="154">
        <v>3</v>
      </c>
      <c r="W180" s="154">
        <v>2</v>
      </c>
      <c r="X180" s="154">
        <v>1</v>
      </c>
      <c r="Y180" s="154" t="s">
        <v>92</v>
      </c>
      <c r="Z180" s="154">
        <v>1</v>
      </c>
      <c r="AA180" s="154">
        <v>3</v>
      </c>
      <c r="AB180" s="296">
        <f t="shared" si="149"/>
        <v>67.058823529411754</v>
      </c>
      <c r="AC180" s="297">
        <f t="shared" si="153"/>
        <v>260000</v>
      </c>
      <c r="AD180" s="301">
        <f t="shared" si="150"/>
        <v>1300</v>
      </c>
      <c r="AE180" s="298"/>
      <c r="AJ180" s="108">
        <f t="shared" si="154"/>
        <v>0</v>
      </c>
      <c r="AK180" s="108">
        <f t="shared" si="155"/>
        <v>0</v>
      </c>
      <c r="AL180" s="108">
        <f t="shared" si="156"/>
        <v>0</v>
      </c>
      <c r="AM180" s="108">
        <f t="shared" si="157"/>
        <v>0</v>
      </c>
      <c r="AN180" s="108">
        <f t="shared" si="158"/>
        <v>0</v>
      </c>
      <c r="AO180" s="108">
        <f t="shared" si="159"/>
        <v>104</v>
      </c>
      <c r="AP180" s="108">
        <f t="shared" si="160"/>
        <v>104</v>
      </c>
      <c r="AQ180" s="108">
        <f t="shared" si="161"/>
        <v>0</v>
      </c>
      <c r="AR180" s="108">
        <f t="shared" si="162"/>
        <v>104</v>
      </c>
      <c r="AX180" s="108">
        <f t="shared" si="129"/>
        <v>5</v>
      </c>
      <c r="AY180" s="108">
        <f t="shared" si="130"/>
        <v>4</v>
      </c>
      <c r="AZ180" s="108">
        <f t="shared" si="131"/>
        <v>0</v>
      </c>
      <c r="BA180" s="108">
        <f t="shared" si="132"/>
        <v>3</v>
      </c>
      <c r="BB180" s="108">
        <f t="shared" si="133"/>
        <v>3</v>
      </c>
      <c r="BC180" s="108">
        <f t="shared" si="134"/>
        <v>2</v>
      </c>
      <c r="BD180" s="108">
        <f t="shared" si="135"/>
        <v>1</v>
      </c>
      <c r="BE180" s="108">
        <f t="shared" si="136"/>
        <v>0</v>
      </c>
      <c r="BF180" s="108">
        <f t="shared" si="137"/>
        <v>1</v>
      </c>
      <c r="BG180" s="108">
        <f t="shared" si="138"/>
        <v>3</v>
      </c>
      <c r="BH180" s="108">
        <f t="shared" si="151"/>
        <v>57</v>
      </c>
      <c r="BJ180" s="108">
        <f t="shared" si="139"/>
        <v>5</v>
      </c>
      <c r="BK180" s="108">
        <f t="shared" si="140"/>
        <v>5</v>
      </c>
      <c r="BL180" s="108">
        <f t="shared" si="141"/>
        <v>0</v>
      </c>
      <c r="BM180" s="108">
        <f t="shared" si="142"/>
        <v>5</v>
      </c>
      <c r="BN180" s="108">
        <f t="shared" si="143"/>
        <v>5</v>
      </c>
      <c r="BO180" s="108">
        <f t="shared" si="144"/>
        <v>5</v>
      </c>
      <c r="BP180" s="108">
        <f t="shared" si="145"/>
        <v>5</v>
      </c>
      <c r="BQ180" s="108">
        <f t="shared" si="146"/>
        <v>0</v>
      </c>
      <c r="BR180" s="108">
        <f t="shared" si="147"/>
        <v>5</v>
      </c>
      <c r="BS180" s="108">
        <f t="shared" si="148"/>
        <v>5</v>
      </c>
      <c r="BT180" s="108">
        <f t="shared" si="152"/>
        <v>85</v>
      </c>
    </row>
    <row r="181" spans="1:72" ht="25" customHeight="1" x14ac:dyDescent="0.3">
      <c r="A181" s="185"/>
      <c r="B181" s="116" t="s">
        <v>1461</v>
      </c>
      <c r="C181" s="126" t="s">
        <v>1413</v>
      </c>
      <c r="D181" s="124" t="s">
        <v>323</v>
      </c>
      <c r="E181" s="116" t="s">
        <v>788</v>
      </c>
      <c r="F181" s="111">
        <v>7.3427216298099998</v>
      </c>
      <c r="G181" s="111">
        <v>134.47129755500001</v>
      </c>
      <c r="H181" s="295" t="s">
        <v>357</v>
      </c>
      <c r="I181" s="334" t="s">
        <v>859</v>
      </c>
      <c r="J181" s="112">
        <v>2020</v>
      </c>
      <c r="K181" s="295" t="s">
        <v>1414</v>
      </c>
      <c r="L181" s="183">
        <v>297</v>
      </c>
      <c r="M181" s="118" t="s">
        <v>308</v>
      </c>
      <c r="N181" s="118" t="s">
        <v>916</v>
      </c>
      <c r="O181" s="118" t="s">
        <v>359</v>
      </c>
      <c r="P181" s="196" t="s">
        <v>322</v>
      </c>
      <c r="Q181" s="118" t="s">
        <v>353</v>
      </c>
      <c r="R181" s="154">
        <v>4</v>
      </c>
      <c r="S181" s="154">
        <v>4</v>
      </c>
      <c r="T181" s="154">
        <v>4</v>
      </c>
      <c r="U181" s="154">
        <v>3</v>
      </c>
      <c r="V181" s="154">
        <v>4</v>
      </c>
      <c r="W181" s="154">
        <v>3</v>
      </c>
      <c r="X181" s="154">
        <v>2</v>
      </c>
      <c r="Y181" s="154" t="s">
        <v>92</v>
      </c>
      <c r="Z181" s="154">
        <v>2</v>
      </c>
      <c r="AA181" s="154">
        <v>3</v>
      </c>
      <c r="AB181" s="296">
        <f t="shared" si="149"/>
        <v>69.473684210526315</v>
      </c>
      <c r="AC181" s="297">
        <f t="shared" si="153"/>
        <v>742500</v>
      </c>
      <c r="AD181" s="301">
        <f t="shared" si="150"/>
        <v>3712.5</v>
      </c>
      <c r="AE181" s="298"/>
      <c r="AJ181" s="108">
        <f t="shared" si="154"/>
        <v>0</v>
      </c>
      <c r="AK181" s="108">
        <f t="shared" si="155"/>
        <v>0</v>
      </c>
      <c r="AL181" s="108">
        <f t="shared" si="156"/>
        <v>0</v>
      </c>
      <c r="AM181" s="108">
        <f t="shared" si="157"/>
        <v>0</v>
      </c>
      <c r="AN181" s="108">
        <f t="shared" si="158"/>
        <v>0</v>
      </c>
      <c r="AO181" s="108">
        <f t="shared" si="159"/>
        <v>0</v>
      </c>
      <c r="AP181" s="108">
        <f t="shared" si="160"/>
        <v>297</v>
      </c>
      <c r="AQ181" s="108">
        <f t="shared" si="161"/>
        <v>0</v>
      </c>
      <c r="AR181" s="108">
        <f t="shared" si="162"/>
        <v>297</v>
      </c>
      <c r="AX181" s="108">
        <f t="shared" si="129"/>
        <v>4</v>
      </c>
      <c r="AY181" s="108">
        <f t="shared" si="130"/>
        <v>4</v>
      </c>
      <c r="AZ181" s="108">
        <f t="shared" si="131"/>
        <v>4</v>
      </c>
      <c r="BA181" s="108">
        <f t="shared" si="132"/>
        <v>3</v>
      </c>
      <c r="BB181" s="108">
        <f t="shared" si="133"/>
        <v>4</v>
      </c>
      <c r="BC181" s="108">
        <f t="shared" si="134"/>
        <v>3</v>
      </c>
      <c r="BD181" s="108">
        <f t="shared" si="135"/>
        <v>2</v>
      </c>
      <c r="BE181" s="108">
        <f t="shared" si="136"/>
        <v>0</v>
      </c>
      <c r="BF181" s="108">
        <f t="shared" si="137"/>
        <v>2</v>
      </c>
      <c r="BG181" s="108">
        <f t="shared" si="138"/>
        <v>3</v>
      </c>
      <c r="BH181" s="108">
        <f t="shared" si="151"/>
        <v>66</v>
      </c>
      <c r="BJ181" s="108">
        <f t="shared" si="139"/>
        <v>5</v>
      </c>
      <c r="BK181" s="108">
        <f t="shared" si="140"/>
        <v>5</v>
      </c>
      <c r="BL181" s="108">
        <f t="shared" si="141"/>
        <v>5</v>
      </c>
      <c r="BM181" s="108">
        <f t="shared" si="142"/>
        <v>5</v>
      </c>
      <c r="BN181" s="108">
        <f t="shared" si="143"/>
        <v>5</v>
      </c>
      <c r="BO181" s="108">
        <f t="shared" si="144"/>
        <v>5</v>
      </c>
      <c r="BP181" s="108">
        <f t="shared" si="145"/>
        <v>5</v>
      </c>
      <c r="BQ181" s="108">
        <f t="shared" si="146"/>
        <v>0</v>
      </c>
      <c r="BR181" s="108">
        <f t="shared" si="147"/>
        <v>5</v>
      </c>
      <c r="BS181" s="108">
        <f t="shared" si="148"/>
        <v>5</v>
      </c>
      <c r="BT181" s="108">
        <f t="shared" si="152"/>
        <v>95</v>
      </c>
    </row>
    <row r="182" spans="1:72" ht="25" customHeight="1" x14ac:dyDescent="0.3">
      <c r="A182" s="185"/>
      <c r="B182" s="116" t="s">
        <v>1462</v>
      </c>
      <c r="C182" s="126" t="s">
        <v>1415</v>
      </c>
      <c r="D182" s="124" t="s">
        <v>323</v>
      </c>
      <c r="E182" s="116" t="s">
        <v>788</v>
      </c>
      <c r="F182" s="111">
        <v>7.3427216298099998</v>
      </c>
      <c r="G182" s="111">
        <v>134.47129755500001</v>
      </c>
      <c r="H182" s="295" t="s">
        <v>874</v>
      </c>
      <c r="I182" s="334" t="s">
        <v>859</v>
      </c>
      <c r="J182" s="112" t="s">
        <v>848</v>
      </c>
      <c r="K182" s="295" t="s">
        <v>848</v>
      </c>
      <c r="L182" s="183">
        <v>669</v>
      </c>
      <c r="M182" s="118" t="s">
        <v>308</v>
      </c>
      <c r="N182" s="118" t="s">
        <v>298</v>
      </c>
      <c r="O182" s="118" t="s">
        <v>1399</v>
      </c>
      <c r="P182" s="196" t="s">
        <v>298</v>
      </c>
      <c r="Q182" s="118" t="s">
        <v>309</v>
      </c>
      <c r="R182" s="154">
        <v>3</v>
      </c>
      <c r="S182" s="154">
        <v>3</v>
      </c>
      <c r="T182" s="154">
        <v>3</v>
      </c>
      <c r="U182" s="154">
        <v>2</v>
      </c>
      <c r="V182" s="154">
        <v>3</v>
      </c>
      <c r="W182" s="154">
        <v>2</v>
      </c>
      <c r="X182" s="154">
        <v>2</v>
      </c>
      <c r="Y182" s="154">
        <v>3</v>
      </c>
      <c r="Z182" s="154">
        <v>1</v>
      </c>
      <c r="AA182" s="154">
        <v>3</v>
      </c>
      <c r="AB182" s="296">
        <f t="shared" si="149"/>
        <v>55.000000000000007</v>
      </c>
      <c r="AC182" s="297">
        <f t="shared" si="153"/>
        <v>1672500</v>
      </c>
      <c r="AD182" s="301">
        <f t="shared" si="150"/>
        <v>8362.5</v>
      </c>
      <c r="AE182" s="298"/>
      <c r="AJ182" s="108">
        <f t="shared" si="154"/>
        <v>0</v>
      </c>
      <c r="AK182" s="108">
        <f t="shared" si="155"/>
        <v>0</v>
      </c>
      <c r="AL182" s="108">
        <f t="shared" si="156"/>
        <v>0</v>
      </c>
      <c r="AM182" s="108">
        <f t="shared" si="157"/>
        <v>669</v>
      </c>
      <c r="AN182" s="108">
        <f t="shared" si="158"/>
        <v>0</v>
      </c>
      <c r="AO182" s="108">
        <f t="shared" si="159"/>
        <v>669</v>
      </c>
      <c r="AP182" s="108">
        <f t="shared" si="160"/>
        <v>669</v>
      </c>
      <c r="AQ182" s="108">
        <f t="shared" si="161"/>
        <v>0</v>
      </c>
      <c r="AR182" s="108">
        <f t="shared" si="162"/>
        <v>669</v>
      </c>
      <c r="AX182" s="108">
        <f t="shared" si="129"/>
        <v>3</v>
      </c>
      <c r="AY182" s="108">
        <f t="shared" si="130"/>
        <v>3</v>
      </c>
      <c r="AZ182" s="108">
        <f t="shared" si="131"/>
        <v>3</v>
      </c>
      <c r="BA182" s="108">
        <f t="shared" si="132"/>
        <v>2</v>
      </c>
      <c r="BB182" s="108">
        <f t="shared" si="133"/>
        <v>3</v>
      </c>
      <c r="BC182" s="108">
        <f t="shared" si="134"/>
        <v>2</v>
      </c>
      <c r="BD182" s="108">
        <f t="shared" si="135"/>
        <v>2</v>
      </c>
      <c r="BE182" s="108">
        <f t="shared" si="136"/>
        <v>3</v>
      </c>
      <c r="BF182" s="108">
        <f t="shared" si="137"/>
        <v>1</v>
      </c>
      <c r="BG182" s="108">
        <f t="shared" si="138"/>
        <v>3</v>
      </c>
      <c r="BH182" s="108">
        <f t="shared" si="151"/>
        <v>55</v>
      </c>
      <c r="BJ182" s="108">
        <f t="shared" si="139"/>
        <v>5</v>
      </c>
      <c r="BK182" s="108">
        <f t="shared" si="140"/>
        <v>5</v>
      </c>
      <c r="BL182" s="108">
        <f t="shared" si="141"/>
        <v>5</v>
      </c>
      <c r="BM182" s="108">
        <f t="shared" si="142"/>
        <v>5</v>
      </c>
      <c r="BN182" s="108">
        <f t="shared" si="143"/>
        <v>5</v>
      </c>
      <c r="BO182" s="108">
        <f t="shared" si="144"/>
        <v>5</v>
      </c>
      <c r="BP182" s="108">
        <f t="shared" si="145"/>
        <v>5</v>
      </c>
      <c r="BQ182" s="108">
        <f t="shared" si="146"/>
        <v>5</v>
      </c>
      <c r="BR182" s="108">
        <f t="shared" si="147"/>
        <v>5</v>
      </c>
      <c r="BS182" s="108">
        <f t="shared" si="148"/>
        <v>5</v>
      </c>
      <c r="BT182" s="108">
        <f t="shared" si="152"/>
        <v>100</v>
      </c>
    </row>
    <row r="183" spans="1:72" ht="25" customHeight="1" x14ac:dyDescent="0.3">
      <c r="A183" s="185"/>
      <c r="B183" s="116" t="s">
        <v>1463</v>
      </c>
      <c r="C183" s="126" t="s">
        <v>1416</v>
      </c>
      <c r="D183" s="124" t="s">
        <v>323</v>
      </c>
      <c r="E183" s="116" t="s">
        <v>788</v>
      </c>
      <c r="F183" s="111">
        <v>7.3427216298099998</v>
      </c>
      <c r="G183" s="111">
        <v>134.47129755500001</v>
      </c>
      <c r="H183" s="295" t="s">
        <v>1401</v>
      </c>
      <c r="I183" s="334">
        <v>1996</v>
      </c>
      <c r="J183" s="112" t="s">
        <v>848</v>
      </c>
      <c r="K183" s="295" t="s">
        <v>848</v>
      </c>
      <c r="L183" s="183">
        <v>386</v>
      </c>
      <c r="M183" s="118" t="s">
        <v>308</v>
      </c>
      <c r="N183" s="118" t="s">
        <v>298</v>
      </c>
      <c r="O183" s="118" t="s">
        <v>1399</v>
      </c>
      <c r="P183" s="196" t="s">
        <v>298</v>
      </c>
      <c r="Q183" s="118" t="s">
        <v>309</v>
      </c>
      <c r="R183" s="154">
        <v>5</v>
      </c>
      <c r="S183" s="154">
        <v>5</v>
      </c>
      <c r="T183" s="154">
        <v>5</v>
      </c>
      <c r="U183" s="154">
        <v>5</v>
      </c>
      <c r="V183" s="154">
        <v>5</v>
      </c>
      <c r="W183" s="154">
        <v>3</v>
      </c>
      <c r="X183" s="154">
        <v>3</v>
      </c>
      <c r="Y183" s="154">
        <v>4</v>
      </c>
      <c r="Z183" s="154">
        <v>4</v>
      </c>
      <c r="AA183" s="154">
        <v>4</v>
      </c>
      <c r="AB183" s="296">
        <f t="shared" si="149"/>
        <v>90</v>
      </c>
      <c r="AC183" s="297">
        <f t="shared" si="153"/>
        <v>965000</v>
      </c>
      <c r="AD183" s="301">
        <f t="shared" si="150"/>
        <v>4825</v>
      </c>
      <c r="AE183" s="298"/>
      <c r="AJ183" s="108">
        <f t="shared" si="154"/>
        <v>0</v>
      </c>
      <c r="AK183" s="108">
        <f t="shared" si="155"/>
        <v>0</v>
      </c>
      <c r="AL183" s="108">
        <f t="shared" si="156"/>
        <v>0</v>
      </c>
      <c r="AM183" s="108">
        <f t="shared" si="157"/>
        <v>0</v>
      </c>
      <c r="AN183" s="108">
        <f t="shared" si="158"/>
        <v>0</v>
      </c>
      <c r="AO183" s="108">
        <f t="shared" si="159"/>
        <v>0</v>
      </c>
      <c r="AP183" s="108">
        <f t="shared" si="160"/>
        <v>0</v>
      </c>
      <c r="AQ183" s="108">
        <f t="shared" si="161"/>
        <v>0</v>
      </c>
      <c r="AR183" s="108">
        <f t="shared" si="162"/>
        <v>0</v>
      </c>
      <c r="AX183" s="108">
        <f t="shared" si="129"/>
        <v>5</v>
      </c>
      <c r="AY183" s="108">
        <f t="shared" si="130"/>
        <v>5</v>
      </c>
      <c r="AZ183" s="108">
        <f t="shared" si="131"/>
        <v>5</v>
      </c>
      <c r="BA183" s="108">
        <f t="shared" si="132"/>
        <v>5</v>
      </c>
      <c r="BB183" s="108">
        <f t="shared" si="133"/>
        <v>5</v>
      </c>
      <c r="BC183" s="108">
        <f t="shared" si="134"/>
        <v>3</v>
      </c>
      <c r="BD183" s="108">
        <f t="shared" si="135"/>
        <v>3</v>
      </c>
      <c r="BE183" s="108">
        <f t="shared" si="136"/>
        <v>4</v>
      </c>
      <c r="BF183" s="108">
        <f t="shared" si="137"/>
        <v>4</v>
      </c>
      <c r="BG183" s="108">
        <f t="shared" si="138"/>
        <v>4</v>
      </c>
      <c r="BH183" s="108">
        <f t="shared" si="151"/>
        <v>90</v>
      </c>
      <c r="BJ183" s="108">
        <f t="shared" si="139"/>
        <v>5</v>
      </c>
      <c r="BK183" s="108">
        <f t="shared" si="140"/>
        <v>5</v>
      </c>
      <c r="BL183" s="108">
        <f t="shared" si="141"/>
        <v>5</v>
      </c>
      <c r="BM183" s="108">
        <f t="shared" si="142"/>
        <v>5</v>
      </c>
      <c r="BN183" s="108">
        <f t="shared" si="143"/>
        <v>5</v>
      </c>
      <c r="BO183" s="108">
        <f t="shared" si="144"/>
        <v>5</v>
      </c>
      <c r="BP183" s="108">
        <f t="shared" si="145"/>
        <v>5</v>
      </c>
      <c r="BQ183" s="108">
        <f t="shared" si="146"/>
        <v>5</v>
      </c>
      <c r="BR183" s="108">
        <f t="shared" si="147"/>
        <v>5</v>
      </c>
      <c r="BS183" s="108">
        <f t="shared" si="148"/>
        <v>5</v>
      </c>
      <c r="BT183" s="108">
        <f t="shared" si="152"/>
        <v>100</v>
      </c>
    </row>
    <row r="184" spans="1:72" ht="25" customHeight="1" x14ac:dyDescent="0.3">
      <c r="A184" s="185"/>
      <c r="B184" s="116" t="s">
        <v>1464</v>
      </c>
      <c r="C184" s="126" t="s">
        <v>1417</v>
      </c>
      <c r="D184" s="124" t="s">
        <v>323</v>
      </c>
      <c r="E184" s="116" t="s">
        <v>788</v>
      </c>
      <c r="F184" s="111">
        <v>7.3427216298099998</v>
      </c>
      <c r="G184" s="111">
        <v>134.47129755500001</v>
      </c>
      <c r="H184" s="295" t="s">
        <v>1397</v>
      </c>
      <c r="I184" s="334" t="s">
        <v>502</v>
      </c>
      <c r="J184" s="112" t="s">
        <v>848</v>
      </c>
      <c r="K184" s="295" t="s">
        <v>848</v>
      </c>
      <c r="L184" s="183">
        <v>1115</v>
      </c>
      <c r="M184" s="118" t="s">
        <v>308</v>
      </c>
      <c r="N184" s="118" t="s">
        <v>916</v>
      </c>
      <c r="O184" s="118" t="s">
        <v>359</v>
      </c>
      <c r="P184" s="196" t="s">
        <v>298</v>
      </c>
      <c r="Q184" s="118" t="s">
        <v>353</v>
      </c>
      <c r="R184" s="154">
        <v>5</v>
      </c>
      <c r="S184" s="154">
        <v>5</v>
      </c>
      <c r="T184" s="154">
        <v>4</v>
      </c>
      <c r="U184" s="154">
        <v>4</v>
      </c>
      <c r="V184" s="154">
        <v>4</v>
      </c>
      <c r="W184" s="154">
        <v>3</v>
      </c>
      <c r="X184" s="154">
        <v>3</v>
      </c>
      <c r="Y184" s="154" t="s">
        <v>92</v>
      </c>
      <c r="Z184" s="154">
        <v>3</v>
      </c>
      <c r="AA184" s="154">
        <v>4</v>
      </c>
      <c r="AB184" s="296">
        <f t="shared" si="149"/>
        <v>85.263157894736835</v>
      </c>
      <c r="AC184" s="297">
        <f t="shared" ref="AC184:AC201" si="163">L184*AC$2</f>
        <v>2787500</v>
      </c>
      <c r="AD184" s="301">
        <f t="shared" si="150"/>
        <v>13937.5</v>
      </c>
      <c r="AE184" s="298"/>
      <c r="AJ184" s="108">
        <f t="shared" si="154"/>
        <v>0</v>
      </c>
      <c r="AK184" s="108">
        <f t="shared" si="155"/>
        <v>0</v>
      </c>
      <c r="AL184" s="108">
        <f t="shared" si="156"/>
        <v>0</v>
      </c>
      <c r="AM184" s="108">
        <f t="shared" si="157"/>
        <v>0</v>
      </c>
      <c r="AN184" s="108">
        <f t="shared" si="158"/>
        <v>0</v>
      </c>
      <c r="AO184" s="108">
        <f t="shared" si="159"/>
        <v>0</v>
      </c>
      <c r="AP184" s="108">
        <f t="shared" si="160"/>
        <v>0</v>
      </c>
      <c r="AQ184" s="108">
        <f t="shared" si="161"/>
        <v>0</v>
      </c>
      <c r="AR184" s="108">
        <f t="shared" si="162"/>
        <v>0</v>
      </c>
      <c r="AX184" s="108">
        <f t="shared" si="129"/>
        <v>5</v>
      </c>
      <c r="AY184" s="108">
        <f t="shared" si="130"/>
        <v>5</v>
      </c>
      <c r="AZ184" s="108">
        <f t="shared" si="131"/>
        <v>4</v>
      </c>
      <c r="BA184" s="108">
        <f t="shared" si="132"/>
        <v>4</v>
      </c>
      <c r="BB184" s="108">
        <f t="shared" si="133"/>
        <v>4</v>
      </c>
      <c r="BC184" s="108">
        <f t="shared" si="134"/>
        <v>3</v>
      </c>
      <c r="BD184" s="108">
        <f t="shared" si="135"/>
        <v>3</v>
      </c>
      <c r="BE184" s="108">
        <f t="shared" si="136"/>
        <v>0</v>
      </c>
      <c r="BF184" s="108">
        <f t="shared" si="137"/>
        <v>3</v>
      </c>
      <c r="BG184" s="108">
        <f t="shared" si="138"/>
        <v>4</v>
      </c>
      <c r="BH184" s="108">
        <f t="shared" si="151"/>
        <v>81</v>
      </c>
      <c r="BJ184" s="108">
        <f t="shared" si="139"/>
        <v>5</v>
      </c>
      <c r="BK184" s="108">
        <f t="shared" si="140"/>
        <v>5</v>
      </c>
      <c r="BL184" s="108">
        <f t="shared" si="141"/>
        <v>5</v>
      </c>
      <c r="BM184" s="108">
        <f t="shared" si="142"/>
        <v>5</v>
      </c>
      <c r="BN184" s="108">
        <f t="shared" si="143"/>
        <v>5</v>
      </c>
      <c r="BO184" s="108">
        <f t="shared" si="144"/>
        <v>5</v>
      </c>
      <c r="BP184" s="108">
        <f t="shared" si="145"/>
        <v>5</v>
      </c>
      <c r="BQ184" s="108">
        <f t="shared" si="146"/>
        <v>0</v>
      </c>
      <c r="BR184" s="108">
        <f t="shared" si="147"/>
        <v>5</v>
      </c>
      <c r="BS184" s="108">
        <f t="shared" si="148"/>
        <v>5</v>
      </c>
      <c r="BT184" s="108">
        <f t="shared" si="152"/>
        <v>95</v>
      </c>
    </row>
    <row r="185" spans="1:72" ht="25" customHeight="1" x14ac:dyDescent="0.3">
      <c r="A185" s="185"/>
      <c r="B185" s="116" t="s">
        <v>1465</v>
      </c>
      <c r="C185" s="126" t="s">
        <v>1418</v>
      </c>
      <c r="D185" s="124" t="s">
        <v>323</v>
      </c>
      <c r="E185" s="116" t="s">
        <v>788</v>
      </c>
      <c r="F185" s="111">
        <v>7.3427216298099998</v>
      </c>
      <c r="G185" s="111">
        <v>134.47129755500001</v>
      </c>
      <c r="H185" s="295" t="s">
        <v>1397</v>
      </c>
      <c r="I185" s="334" t="s">
        <v>859</v>
      </c>
      <c r="J185" s="112">
        <v>2008</v>
      </c>
      <c r="K185" s="295" t="s">
        <v>1419</v>
      </c>
      <c r="L185" s="183">
        <v>624</v>
      </c>
      <c r="M185" s="118" t="s">
        <v>308</v>
      </c>
      <c r="N185" s="118" t="s">
        <v>916</v>
      </c>
      <c r="O185" s="118" t="s">
        <v>359</v>
      </c>
      <c r="P185" s="196" t="s">
        <v>328</v>
      </c>
      <c r="Q185" s="118" t="s">
        <v>353</v>
      </c>
      <c r="R185" s="154">
        <v>3</v>
      </c>
      <c r="S185" s="154">
        <v>3</v>
      </c>
      <c r="T185" s="154">
        <v>3</v>
      </c>
      <c r="U185" s="154">
        <v>4</v>
      </c>
      <c r="V185" s="154">
        <v>4</v>
      </c>
      <c r="W185" s="154">
        <v>3</v>
      </c>
      <c r="X185" s="154">
        <v>3</v>
      </c>
      <c r="Y185" s="154">
        <v>4</v>
      </c>
      <c r="Z185" s="154">
        <v>3</v>
      </c>
      <c r="AA185" s="154">
        <v>3</v>
      </c>
      <c r="AB185" s="296">
        <f t="shared" si="149"/>
        <v>63</v>
      </c>
      <c r="AC185" s="297">
        <f t="shared" si="163"/>
        <v>1560000</v>
      </c>
      <c r="AD185" s="301">
        <f t="shared" si="150"/>
        <v>7800</v>
      </c>
      <c r="AE185" s="298"/>
      <c r="AJ185" s="108">
        <f t="shared" si="154"/>
        <v>0</v>
      </c>
      <c r="AK185" s="108">
        <f t="shared" si="155"/>
        <v>0</v>
      </c>
      <c r="AL185" s="108">
        <f t="shared" si="156"/>
        <v>0</v>
      </c>
      <c r="AM185" s="108">
        <f t="shared" si="157"/>
        <v>0</v>
      </c>
      <c r="AN185" s="108">
        <f t="shared" si="158"/>
        <v>0</v>
      </c>
      <c r="AO185" s="108">
        <f t="shared" si="159"/>
        <v>0</v>
      </c>
      <c r="AP185" s="108">
        <f t="shared" si="160"/>
        <v>0</v>
      </c>
      <c r="AQ185" s="108">
        <f t="shared" si="161"/>
        <v>0</v>
      </c>
      <c r="AR185" s="108">
        <f t="shared" si="162"/>
        <v>0</v>
      </c>
      <c r="AX185" s="108">
        <f t="shared" si="129"/>
        <v>3</v>
      </c>
      <c r="AY185" s="108">
        <f t="shared" si="130"/>
        <v>3</v>
      </c>
      <c r="AZ185" s="108">
        <f t="shared" si="131"/>
        <v>3</v>
      </c>
      <c r="BA185" s="108">
        <f t="shared" si="132"/>
        <v>4</v>
      </c>
      <c r="BB185" s="108">
        <f t="shared" si="133"/>
        <v>4</v>
      </c>
      <c r="BC185" s="108">
        <f t="shared" si="134"/>
        <v>3</v>
      </c>
      <c r="BD185" s="108">
        <f t="shared" si="135"/>
        <v>3</v>
      </c>
      <c r="BE185" s="108">
        <f t="shared" si="136"/>
        <v>4</v>
      </c>
      <c r="BF185" s="108">
        <f t="shared" si="137"/>
        <v>3</v>
      </c>
      <c r="BG185" s="108">
        <f t="shared" si="138"/>
        <v>3</v>
      </c>
      <c r="BH185" s="108">
        <f t="shared" si="151"/>
        <v>63</v>
      </c>
      <c r="BJ185" s="108">
        <f t="shared" si="139"/>
        <v>5</v>
      </c>
      <c r="BK185" s="108">
        <f t="shared" si="140"/>
        <v>5</v>
      </c>
      <c r="BL185" s="108">
        <f t="shared" si="141"/>
        <v>5</v>
      </c>
      <c r="BM185" s="108">
        <f t="shared" si="142"/>
        <v>5</v>
      </c>
      <c r="BN185" s="108">
        <f t="shared" si="143"/>
        <v>5</v>
      </c>
      <c r="BO185" s="108">
        <f t="shared" si="144"/>
        <v>5</v>
      </c>
      <c r="BP185" s="108">
        <f t="shared" si="145"/>
        <v>5</v>
      </c>
      <c r="BQ185" s="108">
        <f t="shared" si="146"/>
        <v>5</v>
      </c>
      <c r="BR185" s="108">
        <f t="shared" si="147"/>
        <v>5</v>
      </c>
      <c r="BS185" s="108">
        <f t="shared" si="148"/>
        <v>5</v>
      </c>
      <c r="BT185" s="108">
        <f t="shared" si="152"/>
        <v>100</v>
      </c>
    </row>
    <row r="186" spans="1:72" ht="25" customHeight="1" x14ac:dyDescent="0.3">
      <c r="A186" s="185"/>
      <c r="B186" s="116" t="s">
        <v>1466</v>
      </c>
      <c r="C186" s="126" t="s">
        <v>1420</v>
      </c>
      <c r="D186" s="124" t="s">
        <v>323</v>
      </c>
      <c r="E186" s="116" t="s">
        <v>788</v>
      </c>
      <c r="F186" s="111">
        <v>7.3427216298099998</v>
      </c>
      <c r="G186" s="111">
        <v>134.47129755500001</v>
      </c>
      <c r="H186" s="295" t="s">
        <v>1412</v>
      </c>
      <c r="I186" s="112" t="s">
        <v>502</v>
      </c>
      <c r="J186" s="112" t="s">
        <v>848</v>
      </c>
      <c r="K186" s="295" t="s">
        <v>848</v>
      </c>
      <c r="L186" s="183">
        <v>294</v>
      </c>
      <c r="M186" s="118" t="s">
        <v>308</v>
      </c>
      <c r="N186" s="118" t="s">
        <v>298</v>
      </c>
      <c r="O186" s="118" t="s">
        <v>1399</v>
      </c>
      <c r="P186" s="196" t="s">
        <v>322</v>
      </c>
      <c r="Q186" s="118" t="s">
        <v>309</v>
      </c>
      <c r="R186" s="154">
        <v>5</v>
      </c>
      <c r="S186" s="154">
        <v>5</v>
      </c>
      <c r="T186" s="154">
        <v>4</v>
      </c>
      <c r="U186" s="154">
        <v>2</v>
      </c>
      <c r="V186" s="154">
        <v>4</v>
      </c>
      <c r="W186" s="154">
        <v>3</v>
      </c>
      <c r="X186" s="154">
        <v>3</v>
      </c>
      <c r="Y186" s="154">
        <v>4</v>
      </c>
      <c r="Z186" s="154">
        <v>3</v>
      </c>
      <c r="AA186" s="154">
        <v>4</v>
      </c>
      <c r="AB186" s="296">
        <f t="shared" si="149"/>
        <v>83</v>
      </c>
      <c r="AC186" s="297">
        <f t="shared" si="163"/>
        <v>735000</v>
      </c>
      <c r="AD186" s="301">
        <f t="shared" si="150"/>
        <v>3675</v>
      </c>
      <c r="AE186" s="298"/>
      <c r="AJ186" s="108">
        <f t="shared" si="154"/>
        <v>0</v>
      </c>
      <c r="AK186" s="108">
        <f t="shared" si="155"/>
        <v>0</v>
      </c>
      <c r="AL186" s="108">
        <f t="shared" si="156"/>
        <v>0</v>
      </c>
      <c r="AM186" s="108">
        <f t="shared" si="157"/>
        <v>294</v>
      </c>
      <c r="AN186" s="108">
        <f t="shared" si="158"/>
        <v>0</v>
      </c>
      <c r="AO186" s="108">
        <f t="shared" si="159"/>
        <v>0</v>
      </c>
      <c r="AP186" s="108">
        <f t="shared" si="160"/>
        <v>0</v>
      </c>
      <c r="AQ186" s="108">
        <f t="shared" si="161"/>
        <v>0</v>
      </c>
      <c r="AR186" s="108">
        <f t="shared" si="162"/>
        <v>0</v>
      </c>
      <c r="AX186" s="108">
        <f t="shared" si="129"/>
        <v>5</v>
      </c>
      <c r="AY186" s="108">
        <f t="shared" si="130"/>
        <v>5</v>
      </c>
      <c r="AZ186" s="108">
        <f t="shared" si="131"/>
        <v>4</v>
      </c>
      <c r="BA186" s="108">
        <f t="shared" si="132"/>
        <v>2</v>
      </c>
      <c r="BB186" s="108">
        <f t="shared" si="133"/>
        <v>4</v>
      </c>
      <c r="BC186" s="108">
        <f t="shared" si="134"/>
        <v>3</v>
      </c>
      <c r="BD186" s="108">
        <f t="shared" si="135"/>
        <v>3</v>
      </c>
      <c r="BE186" s="108">
        <f t="shared" si="136"/>
        <v>4</v>
      </c>
      <c r="BF186" s="108">
        <f t="shared" si="137"/>
        <v>3</v>
      </c>
      <c r="BG186" s="108">
        <f t="shared" si="138"/>
        <v>4</v>
      </c>
      <c r="BH186" s="108">
        <f t="shared" si="151"/>
        <v>83</v>
      </c>
      <c r="BJ186" s="108">
        <f t="shared" si="139"/>
        <v>5</v>
      </c>
      <c r="BK186" s="108">
        <f t="shared" si="140"/>
        <v>5</v>
      </c>
      <c r="BL186" s="108">
        <f t="shared" si="141"/>
        <v>5</v>
      </c>
      <c r="BM186" s="108">
        <f t="shared" si="142"/>
        <v>5</v>
      </c>
      <c r="BN186" s="108">
        <f t="shared" si="143"/>
        <v>5</v>
      </c>
      <c r="BO186" s="108">
        <f t="shared" si="144"/>
        <v>5</v>
      </c>
      <c r="BP186" s="108">
        <f t="shared" si="145"/>
        <v>5</v>
      </c>
      <c r="BQ186" s="108">
        <f t="shared" si="146"/>
        <v>5</v>
      </c>
      <c r="BR186" s="108">
        <f t="shared" si="147"/>
        <v>5</v>
      </c>
      <c r="BS186" s="108">
        <f t="shared" si="148"/>
        <v>5</v>
      </c>
      <c r="BT186" s="108">
        <f t="shared" si="152"/>
        <v>100</v>
      </c>
    </row>
    <row r="187" spans="1:72" ht="25" customHeight="1" x14ac:dyDescent="0.3">
      <c r="A187" s="185"/>
      <c r="B187" s="116" t="s">
        <v>1467</v>
      </c>
      <c r="C187" s="126" t="s">
        <v>1421</v>
      </c>
      <c r="D187" s="124" t="s">
        <v>323</v>
      </c>
      <c r="E187" s="116" t="s">
        <v>788</v>
      </c>
      <c r="F187" s="111">
        <v>7.3427216298099998</v>
      </c>
      <c r="G187" s="111">
        <v>134.47129755500001</v>
      </c>
      <c r="H187" s="295" t="s">
        <v>1412</v>
      </c>
      <c r="I187" s="334" t="s">
        <v>859</v>
      </c>
      <c r="J187" s="112" t="s">
        <v>848</v>
      </c>
      <c r="K187" s="295" t="s">
        <v>848</v>
      </c>
      <c r="L187" s="183">
        <v>268</v>
      </c>
      <c r="M187" s="118" t="s">
        <v>308</v>
      </c>
      <c r="N187" s="118" t="s">
        <v>298</v>
      </c>
      <c r="O187" s="118" t="s">
        <v>1399</v>
      </c>
      <c r="P187" s="196" t="s">
        <v>328</v>
      </c>
      <c r="Q187" s="118" t="s">
        <v>309</v>
      </c>
      <c r="R187" s="154">
        <v>5</v>
      </c>
      <c r="S187" s="154">
        <v>5</v>
      </c>
      <c r="T187" s="154">
        <v>5</v>
      </c>
      <c r="U187" s="154">
        <v>3</v>
      </c>
      <c r="V187" s="154">
        <v>4</v>
      </c>
      <c r="W187" s="154">
        <v>1</v>
      </c>
      <c r="X187" s="154">
        <v>1</v>
      </c>
      <c r="Y187" s="154" t="s">
        <v>92</v>
      </c>
      <c r="Z187" s="154">
        <v>1</v>
      </c>
      <c r="AA187" s="154">
        <v>2</v>
      </c>
      <c r="AB187" s="296">
        <f t="shared" si="149"/>
        <v>71.578947368421055</v>
      </c>
      <c r="AC187" s="297">
        <f t="shared" si="163"/>
        <v>670000</v>
      </c>
      <c r="AD187" s="301">
        <f t="shared" si="150"/>
        <v>3350</v>
      </c>
      <c r="AE187" s="298"/>
      <c r="AJ187" s="108">
        <f t="shared" si="154"/>
        <v>0</v>
      </c>
      <c r="AK187" s="108">
        <f t="shared" si="155"/>
        <v>0</v>
      </c>
      <c r="AL187" s="108">
        <f t="shared" si="156"/>
        <v>0</v>
      </c>
      <c r="AM187" s="108">
        <f t="shared" si="157"/>
        <v>0</v>
      </c>
      <c r="AN187" s="108">
        <f t="shared" si="158"/>
        <v>0</v>
      </c>
      <c r="AO187" s="108">
        <f t="shared" si="159"/>
        <v>268</v>
      </c>
      <c r="AP187" s="108">
        <f t="shared" si="160"/>
        <v>268</v>
      </c>
      <c r="AQ187" s="108">
        <f t="shared" si="161"/>
        <v>0</v>
      </c>
      <c r="AR187" s="108">
        <f t="shared" si="162"/>
        <v>268</v>
      </c>
      <c r="AX187" s="108">
        <f t="shared" si="129"/>
        <v>5</v>
      </c>
      <c r="AY187" s="108">
        <f t="shared" si="130"/>
        <v>5</v>
      </c>
      <c r="AZ187" s="108">
        <f t="shared" si="131"/>
        <v>5</v>
      </c>
      <c r="BA187" s="108">
        <f t="shared" si="132"/>
        <v>3</v>
      </c>
      <c r="BB187" s="108">
        <f t="shared" si="133"/>
        <v>4</v>
      </c>
      <c r="BC187" s="108">
        <f t="shared" si="134"/>
        <v>1</v>
      </c>
      <c r="BD187" s="108">
        <f t="shared" si="135"/>
        <v>1</v>
      </c>
      <c r="BE187" s="108">
        <f t="shared" si="136"/>
        <v>0</v>
      </c>
      <c r="BF187" s="108">
        <f t="shared" si="137"/>
        <v>1</v>
      </c>
      <c r="BG187" s="108">
        <f t="shared" si="138"/>
        <v>2</v>
      </c>
      <c r="BH187" s="108">
        <f t="shared" si="151"/>
        <v>68</v>
      </c>
      <c r="BJ187" s="108">
        <f t="shared" si="139"/>
        <v>5</v>
      </c>
      <c r="BK187" s="108">
        <f t="shared" si="140"/>
        <v>5</v>
      </c>
      <c r="BL187" s="108">
        <f t="shared" si="141"/>
        <v>5</v>
      </c>
      <c r="BM187" s="108">
        <f t="shared" si="142"/>
        <v>5</v>
      </c>
      <c r="BN187" s="108">
        <f t="shared" si="143"/>
        <v>5</v>
      </c>
      <c r="BO187" s="108">
        <f t="shared" si="144"/>
        <v>5</v>
      </c>
      <c r="BP187" s="108">
        <f t="shared" si="145"/>
        <v>5</v>
      </c>
      <c r="BQ187" s="108">
        <f t="shared" si="146"/>
        <v>0</v>
      </c>
      <c r="BR187" s="108">
        <f t="shared" si="147"/>
        <v>5</v>
      </c>
      <c r="BS187" s="108">
        <f t="shared" si="148"/>
        <v>5</v>
      </c>
      <c r="BT187" s="108">
        <f t="shared" si="152"/>
        <v>95</v>
      </c>
    </row>
    <row r="188" spans="1:72" ht="25" customHeight="1" x14ac:dyDescent="0.3">
      <c r="A188" s="185"/>
      <c r="B188" s="116" t="s">
        <v>1468</v>
      </c>
      <c r="C188" s="126" t="s">
        <v>1422</v>
      </c>
      <c r="D188" s="124" t="s">
        <v>323</v>
      </c>
      <c r="E188" s="116" t="s">
        <v>788</v>
      </c>
      <c r="F188" s="111">
        <v>7.3427216298099998</v>
      </c>
      <c r="G188" s="111">
        <v>134.47129755500001</v>
      </c>
      <c r="H188" s="295" t="s">
        <v>1412</v>
      </c>
      <c r="I188" s="334" t="s">
        <v>859</v>
      </c>
      <c r="J188" s="112" t="s">
        <v>848</v>
      </c>
      <c r="K188" s="295" t="s">
        <v>848</v>
      </c>
      <c r="L188" s="183">
        <v>45</v>
      </c>
      <c r="M188" s="118" t="s">
        <v>308</v>
      </c>
      <c r="N188" s="118" t="s">
        <v>298</v>
      </c>
      <c r="O188" s="118" t="s">
        <v>1399</v>
      </c>
      <c r="P188" s="196" t="s">
        <v>298</v>
      </c>
      <c r="Q188" s="118" t="s">
        <v>309</v>
      </c>
      <c r="R188" s="154">
        <v>3</v>
      </c>
      <c r="S188" s="154">
        <v>3</v>
      </c>
      <c r="T188" s="154">
        <v>3</v>
      </c>
      <c r="U188" s="154">
        <v>2</v>
      </c>
      <c r="V188" s="154">
        <v>2</v>
      </c>
      <c r="W188" s="154">
        <v>3</v>
      </c>
      <c r="X188" s="154" t="s">
        <v>92</v>
      </c>
      <c r="Y188" s="154">
        <v>3</v>
      </c>
      <c r="Z188" s="154">
        <v>2</v>
      </c>
      <c r="AA188" s="154">
        <v>3</v>
      </c>
      <c r="AB188" s="296">
        <f t="shared" si="149"/>
        <v>56.84210526315789</v>
      </c>
      <c r="AC188" s="297">
        <f t="shared" si="163"/>
        <v>112500</v>
      </c>
      <c r="AD188" s="301">
        <f t="shared" si="150"/>
        <v>562.5</v>
      </c>
      <c r="AE188" s="298"/>
      <c r="AJ188" s="108">
        <f t="shared" si="154"/>
        <v>0</v>
      </c>
      <c r="AK188" s="108">
        <f t="shared" si="155"/>
        <v>0</v>
      </c>
      <c r="AL188" s="108">
        <f t="shared" si="156"/>
        <v>0</v>
      </c>
      <c r="AM188" s="108">
        <f t="shared" si="157"/>
        <v>45</v>
      </c>
      <c r="AN188" s="108">
        <f t="shared" si="158"/>
        <v>45</v>
      </c>
      <c r="AO188" s="108">
        <f t="shared" si="159"/>
        <v>0</v>
      </c>
      <c r="AP188" s="108">
        <f t="shared" si="160"/>
        <v>0</v>
      </c>
      <c r="AQ188" s="108">
        <f t="shared" si="161"/>
        <v>0</v>
      </c>
      <c r="AR188" s="108">
        <f t="shared" si="162"/>
        <v>45</v>
      </c>
      <c r="AX188" s="108">
        <f t="shared" si="129"/>
        <v>3</v>
      </c>
      <c r="AY188" s="108">
        <f t="shared" si="130"/>
        <v>3</v>
      </c>
      <c r="AZ188" s="108">
        <f t="shared" si="131"/>
        <v>3</v>
      </c>
      <c r="BA188" s="108">
        <f t="shared" si="132"/>
        <v>2</v>
      </c>
      <c r="BB188" s="108">
        <f t="shared" si="133"/>
        <v>2</v>
      </c>
      <c r="BC188" s="108">
        <f t="shared" si="134"/>
        <v>3</v>
      </c>
      <c r="BD188" s="108">
        <f t="shared" si="135"/>
        <v>0</v>
      </c>
      <c r="BE188" s="108">
        <f t="shared" si="136"/>
        <v>3</v>
      </c>
      <c r="BF188" s="108">
        <f t="shared" si="137"/>
        <v>2</v>
      </c>
      <c r="BG188" s="108">
        <f t="shared" si="138"/>
        <v>3</v>
      </c>
      <c r="BH188" s="108">
        <f t="shared" si="151"/>
        <v>54</v>
      </c>
      <c r="BJ188" s="108">
        <f t="shared" si="139"/>
        <v>5</v>
      </c>
      <c r="BK188" s="108">
        <f t="shared" si="140"/>
        <v>5</v>
      </c>
      <c r="BL188" s="108">
        <f t="shared" si="141"/>
        <v>5</v>
      </c>
      <c r="BM188" s="108">
        <f t="shared" si="142"/>
        <v>5</v>
      </c>
      <c r="BN188" s="108">
        <f t="shared" si="143"/>
        <v>5</v>
      </c>
      <c r="BO188" s="108">
        <f t="shared" si="144"/>
        <v>5</v>
      </c>
      <c r="BP188" s="108">
        <f t="shared" si="145"/>
        <v>0</v>
      </c>
      <c r="BQ188" s="108">
        <f t="shared" si="146"/>
        <v>5</v>
      </c>
      <c r="BR188" s="108">
        <f t="shared" si="147"/>
        <v>5</v>
      </c>
      <c r="BS188" s="108">
        <f t="shared" si="148"/>
        <v>5</v>
      </c>
      <c r="BT188" s="108">
        <f t="shared" si="152"/>
        <v>95</v>
      </c>
    </row>
    <row r="189" spans="1:72" ht="25" customHeight="1" x14ac:dyDescent="0.3">
      <c r="A189" s="185"/>
      <c r="B189" s="116" t="s">
        <v>1469</v>
      </c>
      <c r="C189" s="126" t="s">
        <v>1423</v>
      </c>
      <c r="D189" s="124" t="s">
        <v>323</v>
      </c>
      <c r="E189" s="116" t="s">
        <v>788</v>
      </c>
      <c r="F189" s="111">
        <v>7.3414442785</v>
      </c>
      <c r="G189" s="111">
        <v>134.47129755500001</v>
      </c>
      <c r="H189" s="295" t="s">
        <v>354</v>
      </c>
      <c r="I189" s="334">
        <v>1996</v>
      </c>
      <c r="J189" s="112">
        <v>2008</v>
      </c>
      <c r="K189" s="295" t="s">
        <v>324</v>
      </c>
      <c r="L189" s="183">
        <v>743</v>
      </c>
      <c r="M189" s="118" t="s">
        <v>308</v>
      </c>
      <c r="N189" s="118" t="s">
        <v>298</v>
      </c>
      <c r="O189" s="118" t="s">
        <v>329</v>
      </c>
      <c r="P189" s="196" t="s">
        <v>328</v>
      </c>
      <c r="Q189" s="118" t="s">
        <v>334</v>
      </c>
      <c r="R189" s="154">
        <v>4</v>
      </c>
      <c r="S189" s="154">
        <v>2</v>
      </c>
      <c r="T189" s="154">
        <v>3</v>
      </c>
      <c r="U189" s="154">
        <v>3</v>
      </c>
      <c r="V189" s="154">
        <v>2</v>
      </c>
      <c r="W189" s="154">
        <v>3</v>
      </c>
      <c r="X189" s="154">
        <v>2</v>
      </c>
      <c r="Y189" s="154">
        <v>3</v>
      </c>
      <c r="Z189" s="154">
        <v>2</v>
      </c>
      <c r="AA189" s="154">
        <v>3</v>
      </c>
      <c r="AB189" s="296">
        <f t="shared" si="149"/>
        <v>55.000000000000007</v>
      </c>
      <c r="AC189" s="297">
        <f t="shared" si="163"/>
        <v>1857500</v>
      </c>
      <c r="AD189" s="301">
        <f t="shared" si="150"/>
        <v>9287.5</v>
      </c>
      <c r="AE189" s="298"/>
      <c r="AJ189" s="108">
        <f t="shared" si="154"/>
        <v>0</v>
      </c>
      <c r="AK189" s="108">
        <f t="shared" si="155"/>
        <v>743</v>
      </c>
      <c r="AL189" s="108">
        <f t="shared" si="156"/>
        <v>0</v>
      </c>
      <c r="AM189" s="108">
        <f t="shared" si="157"/>
        <v>0</v>
      </c>
      <c r="AN189" s="108">
        <f t="shared" si="158"/>
        <v>743</v>
      </c>
      <c r="AO189" s="108">
        <f t="shared" si="159"/>
        <v>0</v>
      </c>
      <c r="AP189" s="108">
        <f t="shared" si="160"/>
        <v>743</v>
      </c>
      <c r="AQ189" s="108">
        <f t="shared" si="161"/>
        <v>0</v>
      </c>
      <c r="AR189" s="108">
        <f t="shared" si="162"/>
        <v>743</v>
      </c>
      <c r="AX189" s="108">
        <f t="shared" si="129"/>
        <v>4</v>
      </c>
      <c r="AY189" s="108">
        <f t="shared" si="130"/>
        <v>2</v>
      </c>
      <c r="AZ189" s="108">
        <f t="shared" si="131"/>
        <v>3</v>
      </c>
      <c r="BA189" s="108">
        <f t="shared" si="132"/>
        <v>3</v>
      </c>
      <c r="BB189" s="108">
        <f t="shared" si="133"/>
        <v>2</v>
      </c>
      <c r="BC189" s="108">
        <f t="shared" si="134"/>
        <v>3</v>
      </c>
      <c r="BD189" s="108">
        <f t="shared" si="135"/>
        <v>2</v>
      </c>
      <c r="BE189" s="108">
        <f t="shared" si="136"/>
        <v>3</v>
      </c>
      <c r="BF189" s="108">
        <f t="shared" si="137"/>
        <v>2</v>
      </c>
      <c r="BG189" s="108">
        <f t="shared" si="138"/>
        <v>3</v>
      </c>
      <c r="BH189" s="108">
        <f t="shared" si="151"/>
        <v>55</v>
      </c>
      <c r="BJ189" s="108">
        <f t="shared" si="139"/>
        <v>5</v>
      </c>
      <c r="BK189" s="108">
        <f t="shared" si="140"/>
        <v>5</v>
      </c>
      <c r="BL189" s="108">
        <f t="shared" si="141"/>
        <v>5</v>
      </c>
      <c r="BM189" s="108">
        <f t="shared" si="142"/>
        <v>5</v>
      </c>
      <c r="BN189" s="108">
        <f t="shared" si="143"/>
        <v>5</v>
      </c>
      <c r="BO189" s="108">
        <f t="shared" si="144"/>
        <v>5</v>
      </c>
      <c r="BP189" s="108">
        <f t="shared" si="145"/>
        <v>5</v>
      </c>
      <c r="BQ189" s="108">
        <f t="shared" si="146"/>
        <v>5</v>
      </c>
      <c r="BR189" s="108">
        <f t="shared" si="147"/>
        <v>5</v>
      </c>
      <c r="BS189" s="108">
        <f t="shared" si="148"/>
        <v>5</v>
      </c>
      <c r="BT189" s="108">
        <f t="shared" si="152"/>
        <v>100</v>
      </c>
    </row>
    <row r="190" spans="1:72" ht="25" customHeight="1" x14ac:dyDescent="0.3">
      <c r="A190" s="185"/>
      <c r="B190" s="116" t="s">
        <v>1470</v>
      </c>
      <c r="C190" s="126" t="s">
        <v>1424</v>
      </c>
      <c r="D190" s="124" t="s">
        <v>323</v>
      </c>
      <c r="E190" s="116" t="s">
        <v>788</v>
      </c>
      <c r="F190" s="111">
        <v>7.3414442785</v>
      </c>
      <c r="G190" s="111">
        <v>134.47129755500001</v>
      </c>
      <c r="H190" s="295" t="s">
        <v>1425</v>
      </c>
      <c r="I190" s="334">
        <v>1996</v>
      </c>
      <c r="J190" s="112" t="s">
        <v>848</v>
      </c>
      <c r="K190" s="295" t="s">
        <v>848</v>
      </c>
      <c r="L190" s="183">
        <v>223</v>
      </c>
      <c r="M190" s="118" t="s">
        <v>308</v>
      </c>
      <c r="N190" s="118" t="s">
        <v>298</v>
      </c>
      <c r="O190" s="118" t="s">
        <v>329</v>
      </c>
      <c r="P190" s="118" t="s">
        <v>1426</v>
      </c>
      <c r="Q190" s="118" t="s">
        <v>334</v>
      </c>
      <c r="R190" s="154">
        <v>3</v>
      </c>
      <c r="S190" s="154">
        <v>3</v>
      </c>
      <c r="T190" s="154">
        <v>3</v>
      </c>
      <c r="U190" s="154">
        <v>3</v>
      </c>
      <c r="V190" s="154">
        <v>3</v>
      </c>
      <c r="W190" s="154">
        <v>3</v>
      </c>
      <c r="X190" s="154">
        <v>3</v>
      </c>
      <c r="Y190" s="154">
        <v>3</v>
      </c>
      <c r="Z190" s="154">
        <v>2</v>
      </c>
      <c r="AA190" s="154">
        <v>3</v>
      </c>
      <c r="AB190" s="296">
        <f t="shared" si="149"/>
        <v>59</v>
      </c>
      <c r="AC190" s="297">
        <f t="shared" si="163"/>
        <v>557500</v>
      </c>
      <c r="AD190" s="301">
        <f t="shared" si="150"/>
        <v>2787.5</v>
      </c>
      <c r="AE190" s="298"/>
      <c r="AJ190" s="108">
        <f t="shared" si="154"/>
        <v>0</v>
      </c>
      <c r="AK190" s="108">
        <f t="shared" si="155"/>
        <v>0</v>
      </c>
      <c r="AL190" s="108">
        <f t="shared" si="156"/>
        <v>0</v>
      </c>
      <c r="AM190" s="108">
        <f t="shared" si="157"/>
        <v>0</v>
      </c>
      <c r="AN190" s="108">
        <f t="shared" si="158"/>
        <v>0</v>
      </c>
      <c r="AO190" s="108">
        <f t="shared" si="159"/>
        <v>0</v>
      </c>
      <c r="AP190" s="108">
        <f t="shared" si="160"/>
        <v>0</v>
      </c>
      <c r="AQ190" s="108">
        <f t="shared" si="161"/>
        <v>0</v>
      </c>
      <c r="AR190" s="108">
        <f t="shared" si="162"/>
        <v>223</v>
      </c>
      <c r="AX190" s="108">
        <f t="shared" si="129"/>
        <v>3</v>
      </c>
      <c r="AY190" s="108">
        <f t="shared" si="130"/>
        <v>3</v>
      </c>
      <c r="AZ190" s="108">
        <f t="shared" si="131"/>
        <v>3</v>
      </c>
      <c r="BA190" s="108">
        <f t="shared" si="132"/>
        <v>3</v>
      </c>
      <c r="BB190" s="108">
        <f t="shared" si="133"/>
        <v>3</v>
      </c>
      <c r="BC190" s="108">
        <f t="shared" si="134"/>
        <v>3</v>
      </c>
      <c r="BD190" s="108">
        <f t="shared" si="135"/>
        <v>3</v>
      </c>
      <c r="BE190" s="108">
        <f t="shared" si="136"/>
        <v>3</v>
      </c>
      <c r="BF190" s="108">
        <f t="shared" si="137"/>
        <v>2</v>
      </c>
      <c r="BG190" s="108">
        <f t="shared" si="138"/>
        <v>3</v>
      </c>
      <c r="BH190" s="108">
        <f t="shared" si="151"/>
        <v>59</v>
      </c>
      <c r="BJ190" s="108">
        <f t="shared" si="139"/>
        <v>5</v>
      </c>
      <c r="BK190" s="108">
        <f t="shared" si="140"/>
        <v>5</v>
      </c>
      <c r="BL190" s="108">
        <f t="shared" si="141"/>
        <v>5</v>
      </c>
      <c r="BM190" s="108">
        <f t="shared" si="142"/>
        <v>5</v>
      </c>
      <c r="BN190" s="108">
        <f t="shared" si="143"/>
        <v>5</v>
      </c>
      <c r="BO190" s="108">
        <f t="shared" si="144"/>
        <v>5</v>
      </c>
      <c r="BP190" s="108">
        <f t="shared" si="145"/>
        <v>5</v>
      </c>
      <c r="BQ190" s="108">
        <f t="shared" si="146"/>
        <v>5</v>
      </c>
      <c r="BR190" s="108">
        <f t="shared" si="147"/>
        <v>5</v>
      </c>
      <c r="BS190" s="108">
        <f t="shared" si="148"/>
        <v>5</v>
      </c>
      <c r="BT190" s="108">
        <f t="shared" si="152"/>
        <v>100</v>
      </c>
    </row>
    <row r="191" spans="1:72" ht="25" customHeight="1" x14ac:dyDescent="0.3">
      <c r="A191" s="185"/>
      <c r="B191" s="116" t="s">
        <v>1471</v>
      </c>
      <c r="C191" s="126" t="s">
        <v>1427</v>
      </c>
      <c r="D191" s="124" t="s">
        <v>323</v>
      </c>
      <c r="E191" s="116" t="s">
        <v>788</v>
      </c>
      <c r="F191" s="111">
        <v>7.3414442785</v>
      </c>
      <c r="G191" s="111">
        <v>134.47129755500001</v>
      </c>
      <c r="H191" s="295" t="s">
        <v>1428</v>
      </c>
      <c r="I191" s="334">
        <v>1996</v>
      </c>
      <c r="J191" s="112" t="s">
        <v>848</v>
      </c>
      <c r="K191" s="295" t="s">
        <v>848</v>
      </c>
      <c r="L191" s="183">
        <v>149</v>
      </c>
      <c r="M191" s="118" t="s">
        <v>308</v>
      </c>
      <c r="N191" s="118" t="s">
        <v>314</v>
      </c>
      <c r="O191" s="118" t="s">
        <v>314</v>
      </c>
      <c r="P191" s="196" t="s">
        <v>298</v>
      </c>
      <c r="Q191" s="118" t="s">
        <v>309</v>
      </c>
      <c r="R191" s="154">
        <v>2</v>
      </c>
      <c r="S191" s="154">
        <v>2</v>
      </c>
      <c r="T191" s="154">
        <v>2</v>
      </c>
      <c r="U191" s="154">
        <v>2</v>
      </c>
      <c r="V191" s="154">
        <v>2</v>
      </c>
      <c r="W191" s="154">
        <v>2</v>
      </c>
      <c r="X191" s="154">
        <v>2</v>
      </c>
      <c r="Y191" s="154">
        <v>2</v>
      </c>
      <c r="Z191" s="154">
        <v>2</v>
      </c>
      <c r="AA191" s="154">
        <v>2</v>
      </c>
      <c r="AB191" s="296">
        <f t="shared" si="149"/>
        <v>40</v>
      </c>
      <c r="AC191" s="297">
        <f t="shared" si="163"/>
        <v>372500</v>
      </c>
      <c r="AD191" s="301">
        <f t="shared" si="150"/>
        <v>1862.5</v>
      </c>
      <c r="AE191" s="298"/>
      <c r="AJ191" s="108">
        <f t="shared" si="154"/>
        <v>149</v>
      </c>
      <c r="AK191" s="108">
        <f t="shared" si="155"/>
        <v>149</v>
      </c>
      <c r="AL191" s="108">
        <f t="shared" si="156"/>
        <v>149</v>
      </c>
      <c r="AM191" s="108">
        <f t="shared" si="157"/>
        <v>149</v>
      </c>
      <c r="AN191" s="108">
        <f t="shared" si="158"/>
        <v>149</v>
      </c>
      <c r="AO191" s="108">
        <f t="shared" si="159"/>
        <v>149</v>
      </c>
      <c r="AP191" s="108">
        <f t="shared" si="160"/>
        <v>149</v>
      </c>
      <c r="AQ191" s="108">
        <f t="shared" si="161"/>
        <v>149</v>
      </c>
      <c r="AR191" s="108">
        <f t="shared" si="162"/>
        <v>149</v>
      </c>
      <c r="AX191" s="108">
        <f t="shared" si="129"/>
        <v>2</v>
      </c>
      <c r="AY191" s="108">
        <f t="shared" si="130"/>
        <v>2</v>
      </c>
      <c r="AZ191" s="108">
        <f t="shared" si="131"/>
        <v>2</v>
      </c>
      <c r="BA191" s="108">
        <f t="shared" si="132"/>
        <v>2</v>
      </c>
      <c r="BB191" s="108">
        <f t="shared" si="133"/>
        <v>2</v>
      </c>
      <c r="BC191" s="108">
        <f t="shared" si="134"/>
        <v>2</v>
      </c>
      <c r="BD191" s="108">
        <f t="shared" si="135"/>
        <v>2</v>
      </c>
      <c r="BE191" s="108">
        <f t="shared" si="136"/>
        <v>2</v>
      </c>
      <c r="BF191" s="108">
        <f t="shared" si="137"/>
        <v>2</v>
      </c>
      <c r="BG191" s="108">
        <f t="shared" si="138"/>
        <v>2</v>
      </c>
      <c r="BH191" s="108">
        <f t="shared" si="151"/>
        <v>40</v>
      </c>
      <c r="BJ191" s="108">
        <f t="shared" si="139"/>
        <v>5</v>
      </c>
      <c r="BK191" s="108">
        <f t="shared" si="140"/>
        <v>5</v>
      </c>
      <c r="BL191" s="108">
        <f t="shared" si="141"/>
        <v>5</v>
      </c>
      <c r="BM191" s="108">
        <f t="shared" si="142"/>
        <v>5</v>
      </c>
      <c r="BN191" s="108">
        <f t="shared" si="143"/>
        <v>5</v>
      </c>
      <c r="BO191" s="108">
        <f t="shared" si="144"/>
        <v>5</v>
      </c>
      <c r="BP191" s="108">
        <f t="shared" si="145"/>
        <v>5</v>
      </c>
      <c r="BQ191" s="108">
        <f t="shared" si="146"/>
        <v>5</v>
      </c>
      <c r="BR191" s="108">
        <f t="shared" si="147"/>
        <v>5</v>
      </c>
      <c r="BS191" s="108">
        <f t="shared" si="148"/>
        <v>5</v>
      </c>
      <c r="BT191" s="108">
        <f t="shared" si="152"/>
        <v>100</v>
      </c>
    </row>
    <row r="192" spans="1:72" ht="25" customHeight="1" x14ac:dyDescent="0.3">
      <c r="A192" s="185"/>
      <c r="B192" s="116" t="s">
        <v>1472</v>
      </c>
      <c r="C192" s="126" t="s">
        <v>1429</v>
      </c>
      <c r="D192" s="124" t="s">
        <v>323</v>
      </c>
      <c r="E192" s="116" t="s">
        <v>788</v>
      </c>
      <c r="F192" s="111">
        <v>7.3414442785</v>
      </c>
      <c r="G192" s="111">
        <v>134.47129755500001</v>
      </c>
      <c r="H192" s="295" t="s">
        <v>1428</v>
      </c>
      <c r="I192" s="334">
        <v>1996</v>
      </c>
      <c r="J192" s="112" t="s">
        <v>848</v>
      </c>
      <c r="K192" s="295" t="s">
        <v>848</v>
      </c>
      <c r="L192" s="183">
        <v>37</v>
      </c>
      <c r="M192" s="118" t="s">
        <v>308</v>
      </c>
      <c r="N192" s="118" t="s">
        <v>314</v>
      </c>
      <c r="O192" s="118" t="s">
        <v>314</v>
      </c>
      <c r="P192" s="196" t="s">
        <v>298</v>
      </c>
      <c r="Q192" s="118" t="s">
        <v>309</v>
      </c>
      <c r="R192" s="154">
        <v>2</v>
      </c>
      <c r="S192" s="154">
        <v>2</v>
      </c>
      <c r="T192" s="154">
        <v>2</v>
      </c>
      <c r="U192" s="154">
        <v>2</v>
      </c>
      <c r="V192" s="154">
        <v>2</v>
      </c>
      <c r="W192" s="154">
        <v>2</v>
      </c>
      <c r="X192" s="154">
        <v>2</v>
      </c>
      <c r="Y192" s="154">
        <v>2</v>
      </c>
      <c r="Z192" s="154">
        <v>2</v>
      </c>
      <c r="AA192" s="154">
        <v>2</v>
      </c>
      <c r="AB192" s="296">
        <f t="shared" si="149"/>
        <v>40</v>
      </c>
      <c r="AC192" s="297">
        <f t="shared" si="163"/>
        <v>92500</v>
      </c>
      <c r="AD192" s="301">
        <f t="shared" si="150"/>
        <v>462.5</v>
      </c>
      <c r="AE192" s="298"/>
      <c r="AJ192" s="108">
        <f t="shared" si="154"/>
        <v>37</v>
      </c>
      <c r="AK192" s="108">
        <f t="shared" si="155"/>
        <v>37</v>
      </c>
      <c r="AL192" s="108">
        <f t="shared" si="156"/>
        <v>37</v>
      </c>
      <c r="AM192" s="108">
        <f t="shared" si="157"/>
        <v>37</v>
      </c>
      <c r="AN192" s="108">
        <f t="shared" si="158"/>
        <v>37</v>
      </c>
      <c r="AO192" s="108">
        <f t="shared" si="159"/>
        <v>37</v>
      </c>
      <c r="AP192" s="108">
        <f t="shared" si="160"/>
        <v>37</v>
      </c>
      <c r="AQ192" s="108">
        <f t="shared" si="161"/>
        <v>37</v>
      </c>
      <c r="AR192" s="108">
        <f t="shared" si="162"/>
        <v>37</v>
      </c>
      <c r="AX192" s="108">
        <f t="shared" si="129"/>
        <v>2</v>
      </c>
      <c r="AY192" s="108">
        <f t="shared" si="130"/>
        <v>2</v>
      </c>
      <c r="AZ192" s="108">
        <f t="shared" si="131"/>
        <v>2</v>
      </c>
      <c r="BA192" s="108">
        <f t="shared" si="132"/>
        <v>2</v>
      </c>
      <c r="BB192" s="108">
        <f t="shared" si="133"/>
        <v>2</v>
      </c>
      <c r="BC192" s="108">
        <f t="shared" si="134"/>
        <v>2</v>
      </c>
      <c r="BD192" s="108">
        <f t="shared" si="135"/>
        <v>2</v>
      </c>
      <c r="BE192" s="108">
        <f t="shared" si="136"/>
        <v>2</v>
      </c>
      <c r="BF192" s="108">
        <f t="shared" si="137"/>
        <v>2</v>
      </c>
      <c r="BG192" s="108">
        <f t="shared" si="138"/>
        <v>2</v>
      </c>
      <c r="BH192" s="108">
        <f t="shared" si="151"/>
        <v>40</v>
      </c>
      <c r="BJ192" s="108">
        <f t="shared" si="139"/>
        <v>5</v>
      </c>
      <c r="BK192" s="108">
        <f t="shared" si="140"/>
        <v>5</v>
      </c>
      <c r="BL192" s="108">
        <f t="shared" si="141"/>
        <v>5</v>
      </c>
      <c r="BM192" s="108">
        <f t="shared" si="142"/>
        <v>5</v>
      </c>
      <c r="BN192" s="108">
        <f t="shared" si="143"/>
        <v>5</v>
      </c>
      <c r="BO192" s="108">
        <f t="shared" si="144"/>
        <v>5</v>
      </c>
      <c r="BP192" s="108">
        <f t="shared" si="145"/>
        <v>5</v>
      </c>
      <c r="BQ192" s="108">
        <f t="shared" si="146"/>
        <v>5</v>
      </c>
      <c r="BR192" s="108">
        <f t="shared" si="147"/>
        <v>5</v>
      </c>
      <c r="BS192" s="108">
        <f t="shared" si="148"/>
        <v>5</v>
      </c>
      <c r="BT192" s="108">
        <f t="shared" si="152"/>
        <v>100</v>
      </c>
    </row>
    <row r="193" spans="1:72" ht="25" customHeight="1" x14ac:dyDescent="0.3">
      <c r="A193" s="185"/>
      <c r="B193" s="116" t="s">
        <v>1473</v>
      </c>
      <c r="C193" s="126" t="s">
        <v>1430</v>
      </c>
      <c r="D193" s="124" t="s">
        <v>323</v>
      </c>
      <c r="E193" s="116" t="s">
        <v>788</v>
      </c>
      <c r="F193" s="111">
        <v>7.3414442785</v>
      </c>
      <c r="G193" s="111">
        <v>134.47129755500001</v>
      </c>
      <c r="H193" s="295" t="s">
        <v>1412</v>
      </c>
      <c r="I193" s="334">
        <v>1996</v>
      </c>
      <c r="J193" s="112" t="s">
        <v>848</v>
      </c>
      <c r="K193" s="295" t="s">
        <v>848</v>
      </c>
      <c r="L193" s="183">
        <v>30</v>
      </c>
      <c r="M193" s="118" t="s">
        <v>308</v>
      </c>
      <c r="N193" s="118" t="s">
        <v>298</v>
      </c>
      <c r="O193" s="118" t="s">
        <v>1399</v>
      </c>
      <c r="P193" s="196" t="s">
        <v>298</v>
      </c>
      <c r="Q193" s="118" t="s">
        <v>309</v>
      </c>
      <c r="R193" s="154">
        <v>3</v>
      </c>
      <c r="S193" s="154">
        <v>3</v>
      </c>
      <c r="T193" s="154">
        <v>3</v>
      </c>
      <c r="U193" s="154">
        <v>3</v>
      </c>
      <c r="V193" s="154">
        <v>3</v>
      </c>
      <c r="W193" s="154">
        <v>3</v>
      </c>
      <c r="X193" s="154">
        <v>3</v>
      </c>
      <c r="Y193" s="154">
        <v>3</v>
      </c>
      <c r="Z193" s="154">
        <v>3</v>
      </c>
      <c r="AA193" s="154">
        <v>3</v>
      </c>
      <c r="AB193" s="296">
        <f t="shared" si="149"/>
        <v>60</v>
      </c>
      <c r="AC193" s="297">
        <f t="shared" si="163"/>
        <v>75000</v>
      </c>
      <c r="AD193" s="301">
        <f t="shared" si="150"/>
        <v>375</v>
      </c>
      <c r="AE193" s="298"/>
      <c r="AJ193" s="108">
        <f t="shared" si="154"/>
        <v>0</v>
      </c>
      <c r="AK193" s="108">
        <f t="shared" si="155"/>
        <v>0</v>
      </c>
      <c r="AL193" s="108">
        <f t="shared" si="156"/>
        <v>0</v>
      </c>
      <c r="AM193" s="108">
        <f t="shared" si="157"/>
        <v>0</v>
      </c>
      <c r="AN193" s="108">
        <f t="shared" si="158"/>
        <v>0</v>
      </c>
      <c r="AO193" s="108">
        <f t="shared" si="159"/>
        <v>0</v>
      </c>
      <c r="AP193" s="108">
        <f t="shared" si="160"/>
        <v>0</v>
      </c>
      <c r="AQ193" s="108">
        <f t="shared" si="161"/>
        <v>0</v>
      </c>
      <c r="AR193" s="108">
        <f t="shared" si="162"/>
        <v>0</v>
      </c>
      <c r="AX193" s="108">
        <f t="shared" si="129"/>
        <v>3</v>
      </c>
      <c r="AY193" s="108">
        <f t="shared" si="130"/>
        <v>3</v>
      </c>
      <c r="AZ193" s="108">
        <f t="shared" si="131"/>
        <v>3</v>
      </c>
      <c r="BA193" s="108">
        <f t="shared" si="132"/>
        <v>3</v>
      </c>
      <c r="BB193" s="108">
        <f t="shared" si="133"/>
        <v>3</v>
      </c>
      <c r="BC193" s="108">
        <f t="shared" si="134"/>
        <v>3</v>
      </c>
      <c r="BD193" s="108">
        <f t="shared" si="135"/>
        <v>3</v>
      </c>
      <c r="BE193" s="108">
        <f t="shared" si="136"/>
        <v>3</v>
      </c>
      <c r="BF193" s="108">
        <f t="shared" si="137"/>
        <v>3</v>
      </c>
      <c r="BG193" s="108">
        <f t="shared" si="138"/>
        <v>3</v>
      </c>
      <c r="BH193" s="108">
        <f t="shared" si="151"/>
        <v>60</v>
      </c>
      <c r="BJ193" s="108">
        <f t="shared" si="139"/>
        <v>5</v>
      </c>
      <c r="BK193" s="108">
        <f t="shared" si="140"/>
        <v>5</v>
      </c>
      <c r="BL193" s="108">
        <f t="shared" si="141"/>
        <v>5</v>
      </c>
      <c r="BM193" s="108">
        <f t="shared" si="142"/>
        <v>5</v>
      </c>
      <c r="BN193" s="108">
        <f t="shared" si="143"/>
        <v>5</v>
      </c>
      <c r="BO193" s="108">
        <f t="shared" si="144"/>
        <v>5</v>
      </c>
      <c r="BP193" s="108">
        <f t="shared" si="145"/>
        <v>5</v>
      </c>
      <c r="BQ193" s="108">
        <f t="shared" si="146"/>
        <v>5</v>
      </c>
      <c r="BR193" s="108">
        <f t="shared" si="147"/>
        <v>5</v>
      </c>
      <c r="BS193" s="108">
        <f t="shared" si="148"/>
        <v>5</v>
      </c>
      <c r="BT193" s="108">
        <f t="shared" si="152"/>
        <v>100</v>
      </c>
    </row>
    <row r="194" spans="1:72" ht="25" customHeight="1" x14ac:dyDescent="0.3">
      <c r="A194" s="185"/>
      <c r="B194" s="116" t="s">
        <v>1474</v>
      </c>
      <c r="C194" s="126" t="s">
        <v>1431</v>
      </c>
      <c r="D194" s="124" t="s">
        <v>323</v>
      </c>
      <c r="E194" s="116" t="s">
        <v>1177</v>
      </c>
      <c r="F194" s="111">
        <v>6.9027139999999996</v>
      </c>
      <c r="G194" s="111">
        <v>134.1347744</v>
      </c>
      <c r="H194" s="295" t="s">
        <v>331</v>
      </c>
      <c r="I194" s="334" t="s">
        <v>380</v>
      </c>
      <c r="J194" s="112">
        <v>2020</v>
      </c>
      <c r="K194" s="295" t="s">
        <v>1432</v>
      </c>
      <c r="L194" s="183">
        <v>250</v>
      </c>
      <c r="M194" s="118" t="s">
        <v>308</v>
      </c>
      <c r="N194" s="118" t="s">
        <v>298</v>
      </c>
      <c r="O194" s="118" t="s">
        <v>1399</v>
      </c>
      <c r="P194" s="196" t="s">
        <v>298</v>
      </c>
      <c r="Q194" s="118" t="s">
        <v>309</v>
      </c>
      <c r="R194" s="154">
        <v>5</v>
      </c>
      <c r="S194" s="154">
        <v>5</v>
      </c>
      <c r="T194" s="154">
        <v>5</v>
      </c>
      <c r="U194" s="154">
        <v>2</v>
      </c>
      <c r="V194" s="154">
        <v>5</v>
      </c>
      <c r="W194" s="154">
        <v>5</v>
      </c>
      <c r="X194" s="154">
        <v>5</v>
      </c>
      <c r="Y194" s="154">
        <v>5</v>
      </c>
      <c r="Z194" s="154">
        <v>5</v>
      </c>
      <c r="AA194" s="154">
        <v>4</v>
      </c>
      <c r="AB194" s="296">
        <f t="shared" si="149"/>
        <v>93</v>
      </c>
      <c r="AC194" s="297">
        <f t="shared" si="163"/>
        <v>625000</v>
      </c>
      <c r="AD194" s="301">
        <f t="shared" si="150"/>
        <v>3125</v>
      </c>
      <c r="AE194" s="298"/>
      <c r="AJ194" s="108">
        <f t="shared" si="154"/>
        <v>0</v>
      </c>
      <c r="AK194" s="108">
        <f t="shared" si="155"/>
        <v>0</v>
      </c>
      <c r="AL194" s="108">
        <f t="shared" si="156"/>
        <v>0</v>
      </c>
      <c r="AM194" s="108">
        <f t="shared" si="157"/>
        <v>250</v>
      </c>
      <c r="AN194" s="108">
        <f t="shared" si="158"/>
        <v>0</v>
      </c>
      <c r="AO194" s="108">
        <f t="shared" si="159"/>
        <v>0</v>
      </c>
      <c r="AP194" s="108">
        <f t="shared" si="160"/>
        <v>0</v>
      </c>
      <c r="AQ194" s="108">
        <f t="shared" si="161"/>
        <v>0</v>
      </c>
      <c r="AR194" s="108">
        <f t="shared" si="162"/>
        <v>0</v>
      </c>
      <c r="AX194" s="108">
        <f t="shared" si="129"/>
        <v>5</v>
      </c>
      <c r="AY194" s="108">
        <f t="shared" si="130"/>
        <v>5</v>
      </c>
      <c r="AZ194" s="108">
        <f t="shared" si="131"/>
        <v>5</v>
      </c>
      <c r="BA194" s="108">
        <f t="shared" si="132"/>
        <v>2</v>
      </c>
      <c r="BB194" s="108">
        <f t="shared" si="133"/>
        <v>5</v>
      </c>
      <c r="BC194" s="108">
        <f t="shared" si="134"/>
        <v>5</v>
      </c>
      <c r="BD194" s="108">
        <f t="shared" si="135"/>
        <v>5</v>
      </c>
      <c r="BE194" s="108">
        <f t="shared" si="136"/>
        <v>5</v>
      </c>
      <c r="BF194" s="108">
        <f t="shared" si="137"/>
        <v>5</v>
      </c>
      <c r="BG194" s="108">
        <f t="shared" si="138"/>
        <v>4</v>
      </c>
      <c r="BH194" s="108">
        <f t="shared" si="151"/>
        <v>93</v>
      </c>
      <c r="BJ194" s="108">
        <f t="shared" si="139"/>
        <v>5</v>
      </c>
      <c r="BK194" s="108">
        <f t="shared" si="140"/>
        <v>5</v>
      </c>
      <c r="BL194" s="108">
        <f t="shared" si="141"/>
        <v>5</v>
      </c>
      <c r="BM194" s="108">
        <f t="shared" si="142"/>
        <v>5</v>
      </c>
      <c r="BN194" s="108">
        <f t="shared" si="143"/>
        <v>5</v>
      </c>
      <c r="BO194" s="108">
        <f t="shared" si="144"/>
        <v>5</v>
      </c>
      <c r="BP194" s="108">
        <f t="shared" si="145"/>
        <v>5</v>
      </c>
      <c r="BQ194" s="108">
        <f t="shared" si="146"/>
        <v>5</v>
      </c>
      <c r="BR194" s="108">
        <f t="shared" si="147"/>
        <v>5</v>
      </c>
      <c r="BS194" s="108">
        <f t="shared" si="148"/>
        <v>5</v>
      </c>
      <c r="BT194" s="108">
        <f t="shared" si="152"/>
        <v>100</v>
      </c>
    </row>
    <row r="195" spans="1:72" ht="25" customHeight="1" x14ac:dyDescent="0.3">
      <c r="A195" s="185"/>
      <c r="B195" s="116" t="s">
        <v>1475</v>
      </c>
      <c r="C195" s="126" t="s">
        <v>1433</v>
      </c>
      <c r="D195" s="124" t="s">
        <v>323</v>
      </c>
      <c r="E195" s="116" t="s">
        <v>1177</v>
      </c>
      <c r="F195" s="111">
        <v>6.9027139999999996</v>
      </c>
      <c r="G195" s="111">
        <v>134.1347744</v>
      </c>
      <c r="H195" s="295" t="s">
        <v>331</v>
      </c>
      <c r="I195" s="334" t="s">
        <v>859</v>
      </c>
      <c r="J195" s="112" t="s">
        <v>848</v>
      </c>
      <c r="K195" s="295" t="s">
        <v>848</v>
      </c>
      <c r="L195" s="183">
        <v>418</v>
      </c>
      <c r="M195" s="118" t="s">
        <v>308</v>
      </c>
      <c r="N195" s="118" t="s">
        <v>298</v>
      </c>
      <c r="O195" s="118" t="s">
        <v>1399</v>
      </c>
      <c r="P195" s="196" t="s">
        <v>298</v>
      </c>
      <c r="Q195" s="118" t="s">
        <v>309</v>
      </c>
      <c r="R195" s="154">
        <v>4</v>
      </c>
      <c r="S195" s="154">
        <v>4</v>
      </c>
      <c r="T195" s="154">
        <v>4</v>
      </c>
      <c r="U195" s="154">
        <v>2</v>
      </c>
      <c r="V195" s="154">
        <v>5</v>
      </c>
      <c r="W195" s="154">
        <v>3</v>
      </c>
      <c r="X195" s="154">
        <v>4</v>
      </c>
      <c r="Y195" s="154">
        <v>5</v>
      </c>
      <c r="Z195" s="154">
        <v>1</v>
      </c>
      <c r="AA195" s="154">
        <v>3</v>
      </c>
      <c r="AB195" s="296">
        <f t="shared" si="149"/>
        <v>72</v>
      </c>
      <c r="AC195" s="297">
        <f t="shared" si="163"/>
        <v>1045000</v>
      </c>
      <c r="AD195" s="301">
        <f t="shared" si="150"/>
        <v>5225</v>
      </c>
      <c r="AE195" s="298"/>
      <c r="AJ195" s="108">
        <f t="shared" si="154"/>
        <v>0</v>
      </c>
      <c r="AK195" s="108">
        <f t="shared" si="155"/>
        <v>0</v>
      </c>
      <c r="AL195" s="108">
        <f t="shared" si="156"/>
        <v>0</v>
      </c>
      <c r="AM195" s="108">
        <f t="shared" si="157"/>
        <v>418</v>
      </c>
      <c r="AN195" s="108">
        <f t="shared" si="158"/>
        <v>0</v>
      </c>
      <c r="AO195" s="108">
        <f t="shared" si="159"/>
        <v>0</v>
      </c>
      <c r="AP195" s="108">
        <f t="shared" si="160"/>
        <v>0</v>
      </c>
      <c r="AQ195" s="108">
        <f t="shared" si="161"/>
        <v>0</v>
      </c>
      <c r="AR195" s="108">
        <f t="shared" si="162"/>
        <v>418</v>
      </c>
      <c r="AX195" s="108">
        <f t="shared" si="129"/>
        <v>4</v>
      </c>
      <c r="AY195" s="108">
        <f t="shared" si="130"/>
        <v>4</v>
      </c>
      <c r="AZ195" s="108">
        <f t="shared" si="131"/>
        <v>4</v>
      </c>
      <c r="BA195" s="108">
        <f t="shared" si="132"/>
        <v>2</v>
      </c>
      <c r="BB195" s="108">
        <f t="shared" si="133"/>
        <v>5</v>
      </c>
      <c r="BC195" s="108">
        <f t="shared" si="134"/>
        <v>3</v>
      </c>
      <c r="BD195" s="108">
        <f t="shared" si="135"/>
        <v>4</v>
      </c>
      <c r="BE195" s="108">
        <f t="shared" si="136"/>
        <v>5</v>
      </c>
      <c r="BF195" s="108">
        <f t="shared" si="137"/>
        <v>1</v>
      </c>
      <c r="BG195" s="108">
        <f t="shared" si="138"/>
        <v>3</v>
      </c>
      <c r="BH195" s="108">
        <f t="shared" si="151"/>
        <v>72</v>
      </c>
      <c r="BJ195" s="108">
        <f t="shared" si="139"/>
        <v>5</v>
      </c>
      <c r="BK195" s="108">
        <f t="shared" si="140"/>
        <v>5</v>
      </c>
      <c r="BL195" s="108">
        <f t="shared" si="141"/>
        <v>5</v>
      </c>
      <c r="BM195" s="108">
        <f t="shared" si="142"/>
        <v>5</v>
      </c>
      <c r="BN195" s="108">
        <f t="shared" si="143"/>
        <v>5</v>
      </c>
      <c r="BO195" s="108">
        <f t="shared" si="144"/>
        <v>5</v>
      </c>
      <c r="BP195" s="108">
        <f t="shared" si="145"/>
        <v>5</v>
      </c>
      <c r="BQ195" s="108">
        <f t="shared" si="146"/>
        <v>5</v>
      </c>
      <c r="BR195" s="108">
        <f t="shared" si="147"/>
        <v>5</v>
      </c>
      <c r="BS195" s="108">
        <f t="shared" si="148"/>
        <v>5</v>
      </c>
      <c r="BT195" s="108">
        <f t="shared" si="152"/>
        <v>100</v>
      </c>
    </row>
    <row r="196" spans="1:72" ht="25" customHeight="1" x14ac:dyDescent="0.3">
      <c r="A196" s="185"/>
      <c r="B196" s="116" t="s">
        <v>1476</v>
      </c>
      <c r="C196" s="126" t="s">
        <v>1434</v>
      </c>
      <c r="D196" s="124" t="s">
        <v>323</v>
      </c>
      <c r="E196" s="116" t="s">
        <v>1177</v>
      </c>
      <c r="F196" s="111">
        <v>6.9027139999999996</v>
      </c>
      <c r="G196" s="111">
        <v>134.1347744</v>
      </c>
      <c r="H196" s="295" t="s">
        <v>331</v>
      </c>
      <c r="I196" s="112" t="s">
        <v>502</v>
      </c>
      <c r="J196" s="112" t="s">
        <v>848</v>
      </c>
      <c r="K196" s="295" t="s">
        <v>848</v>
      </c>
      <c r="L196" s="183">
        <v>56</v>
      </c>
      <c r="M196" s="118" t="s">
        <v>308</v>
      </c>
      <c r="N196" s="118" t="s">
        <v>298</v>
      </c>
      <c r="O196" s="118" t="s">
        <v>1399</v>
      </c>
      <c r="P196" s="196" t="s">
        <v>298</v>
      </c>
      <c r="Q196" s="118" t="s">
        <v>309</v>
      </c>
      <c r="R196" s="154">
        <v>1</v>
      </c>
      <c r="S196" s="154">
        <v>1</v>
      </c>
      <c r="T196" s="154">
        <v>1</v>
      </c>
      <c r="U196" s="154">
        <v>1</v>
      </c>
      <c r="V196" s="154">
        <v>1</v>
      </c>
      <c r="W196" s="154">
        <v>1</v>
      </c>
      <c r="X196" s="154">
        <v>1</v>
      </c>
      <c r="Y196" s="154">
        <v>1</v>
      </c>
      <c r="Z196" s="154">
        <v>1</v>
      </c>
      <c r="AA196" s="154">
        <v>1</v>
      </c>
      <c r="AB196" s="296">
        <f t="shared" si="149"/>
        <v>20</v>
      </c>
      <c r="AC196" s="297">
        <f t="shared" si="163"/>
        <v>140000</v>
      </c>
      <c r="AD196" s="301">
        <f t="shared" si="150"/>
        <v>700</v>
      </c>
      <c r="AE196" s="298"/>
      <c r="AJ196" s="108">
        <f t="shared" ref="AJ196:AJ201" si="164">IF(OR(R196=1,R196=2),$L196,0)</f>
        <v>56</v>
      </c>
      <c r="AK196" s="108">
        <f t="shared" ref="AK196:AK201" si="165">IF(OR(S196=1,S196=2),$L196,0)</f>
        <v>56</v>
      </c>
      <c r="AL196" s="108">
        <f t="shared" ref="AL196:AL201" si="166">IF(OR(T196=1,T196=2),$L196,0)</f>
        <v>56</v>
      </c>
      <c r="AM196" s="108">
        <f t="shared" ref="AM196:AM201" si="167">IF(OR(U196=1,U196=2),$L196,0)</f>
        <v>56</v>
      </c>
      <c r="AN196" s="108">
        <f t="shared" ref="AN196:AN201" si="168">IF(OR(V196=1,V196=2),$L196,0)</f>
        <v>56</v>
      </c>
      <c r="AO196" s="108">
        <f t="shared" ref="AO196:AO201" si="169">IF(OR(W196=1,W196=2),$L196,0)</f>
        <v>56</v>
      </c>
      <c r="AP196" s="108">
        <f t="shared" ref="AP196:AP201" si="170">IF(OR(X196=1,X196=2),$L196,0)</f>
        <v>56</v>
      </c>
      <c r="AQ196" s="108">
        <f t="shared" ref="AQ196:AQ201" si="171">IF(OR(Y196=1,Y196=2),$L196,0)</f>
        <v>56</v>
      </c>
      <c r="AR196" s="108">
        <f t="shared" ref="AR196:AR201" si="172">IF(OR(Z196=1,Z196=2),$L196,0)</f>
        <v>56</v>
      </c>
      <c r="AX196" s="108">
        <f t="shared" ref="AX196:AX259" si="173">IF(OR(R196=1,R196=2,R196=3,R196=4,R196=5),R196,0)</f>
        <v>1</v>
      </c>
      <c r="AY196" s="108">
        <f t="shared" ref="AY196:AY259" si="174">IF(OR(S196=1,S196=2,S196=3,S196=4,S196=5),S196,0)</f>
        <v>1</v>
      </c>
      <c r="AZ196" s="108">
        <f t="shared" ref="AZ196:AZ259" si="175">IF(OR(T196=1,T196=2,T196=3,T196=4,T196=5),T196,0)</f>
        <v>1</v>
      </c>
      <c r="BA196" s="108">
        <f t="shared" ref="BA196:BA259" si="176">IF(OR(U196=1,U196=2,U196=3,U196=4,U196=5),U196,0)</f>
        <v>1</v>
      </c>
      <c r="BB196" s="108">
        <f t="shared" ref="BB196:BB259" si="177">IF(OR(V196=1,V196=2,V196=3,V196=4,V196=5),V196,0)</f>
        <v>1</v>
      </c>
      <c r="BC196" s="108">
        <f t="shared" ref="BC196:BC259" si="178">IF(OR(W196=1,W196=2,W196=3,W196=4,W196=5),W196,0)</f>
        <v>1</v>
      </c>
      <c r="BD196" s="108">
        <f t="shared" ref="BD196:BD259" si="179">IF(OR(X196=1,X196=2,X196=3,X196=4,X196=5),X196,0)</f>
        <v>1</v>
      </c>
      <c r="BE196" s="108">
        <f t="shared" ref="BE196:BE259" si="180">IF(OR(Y196=1,Y196=2,Y196=3,Y196=4,Y196=5),Y196,0)</f>
        <v>1</v>
      </c>
      <c r="BF196" s="108">
        <f t="shared" ref="BF196:BF259" si="181">IF(OR(Z196=1,Z196=2,Z196=3,Z196=4,Z196=5),Z196,0)</f>
        <v>1</v>
      </c>
      <c r="BG196" s="108">
        <f t="shared" ref="BG196:BG259" si="182">IF(OR(AA196=1,AA196=2,AA196=3,AA196=4,AA196=5),AA196,0)</f>
        <v>1</v>
      </c>
      <c r="BH196" s="108">
        <f t="shared" si="151"/>
        <v>20</v>
      </c>
      <c r="BJ196" s="108">
        <f t="shared" ref="BJ196:BJ259" si="183">IF(OR(R196=1,R196=2,R196=3,R196=4,R196=5),5,0)</f>
        <v>5</v>
      </c>
      <c r="BK196" s="108">
        <f t="shared" ref="BK196:BK259" si="184">IF(OR(S196=1,S196=2,S196=3,S196=4,S196=5),5,0)</f>
        <v>5</v>
      </c>
      <c r="BL196" s="108">
        <f t="shared" ref="BL196:BL259" si="185">IF(OR(T196=1,T196=2,T196=3,T196=4,T196=5),5,0)</f>
        <v>5</v>
      </c>
      <c r="BM196" s="108">
        <f t="shared" ref="BM196:BM259" si="186">IF(OR(U196=1,U196=2,U196=3,U196=4,U196=5),5,0)</f>
        <v>5</v>
      </c>
      <c r="BN196" s="108">
        <f t="shared" ref="BN196:BN259" si="187">IF(OR(V196=1,V196=2,V196=3,V196=4,V196=5),5,0)</f>
        <v>5</v>
      </c>
      <c r="BO196" s="108">
        <f t="shared" ref="BO196:BO259" si="188">IF(OR(W196=1,W196=2,W196=3,W196=4,W196=5),5,0)</f>
        <v>5</v>
      </c>
      <c r="BP196" s="108">
        <f t="shared" ref="BP196:BP259" si="189">IF(OR(X196=1,X196=2,X196=3,X196=4,X196=5),5,0)</f>
        <v>5</v>
      </c>
      <c r="BQ196" s="108">
        <f t="shared" ref="BQ196:BQ259" si="190">IF(OR(Y196=1,Y196=2,Y196=3,Y196=4,Y196=5),5,0)</f>
        <v>5</v>
      </c>
      <c r="BR196" s="108">
        <f t="shared" ref="BR196:BR259" si="191">IF(OR(Z196=1,Z196=2,Z196=3,Z196=4,Z196=5),5,0)</f>
        <v>5</v>
      </c>
      <c r="BS196" s="108">
        <f t="shared" ref="BS196:BS259" si="192">IF(OR(AA196=1,AA196=2,AA196=3,AA196=4,AA196=5),5,0)</f>
        <v>5</v>
      </c>
      <c r="BT196" s="108">
        <f t="shared" si="152"/>
        <v>100</v>
      </c>
    </row>
    <row r="197" spans="1:72" ht="25" customHeight="1" x14ac:dyDescent="0.3">
      <c r="A197" s="185"/>
      <c r="B197" s="116" t="s">
        <v>1477</v>
      </c>
      <c r="C197" s="126" t="s">
        <v>1435</v>
      </c>
      <c r="D197" s="124" t="s">
        <v>323</v>
      </c>
      <c r="E197" s="116" t="s">
        <v>1436</v>
      </c>
      <c r="F197" s="111">
        <v>7.0429833000000004</v>
      </c>
      <c r="G197" s="111">
        <v>134.25843280000001</v>
      </c>
      <c r="H197" s="295" t="s">
        <v>331</v>
      </c>
      <c r="I197" s="112" t="s">
        <v>380</v>
      </c>
      <c r="J197" s="112">
        <v>2020</v>
      </c>
      <c r="K197" s="295" t="s">
        <v>1414</v>
      </c>
      <c r="L197" s="183">
        <v>334</v>
      </c>
      <c r="M197" s="118" t="s">
        <v>308</v>
      </c>
      <c r="N197" s="118" t="s">
        <v>298</v>
      </c>
      <c r="O197" s="118" t="s">
        <v>1399</v>
      </c>
      <c r="P197" s="196" t="s">
        <v>298</v>
      </c>
      <c r="Q197" s="118" t="s">
        <v>309</v>
      </c>
      <c r="R197" s="154">
        <v>4</v>
      </c>
      <c r="S197" s="154">
        <v>4</v>
      </c>
      <c r="T197" s="154">
        <v>4</v>
      </c>
      <c r="U197" s="154">
        <v>4</v>
      </c>
      <c r="V197" s="154">
        <v>4</v>
      </c>
      <c r="W197" s="154">
        <v>4</v>
      </c>
      <c r="X197" s="154">
        <v>4</v>
      </c>
      <c r="Y197" s="154">
        <v>4</v>
      </c>
      <c r="Z197" s="154">
        <v>4</v>
      </c>
      <c r="AA197" s="154">
        <v>4</v>
      </c>
      <c r="AB197" s="296">
        <f t="shared" ref="AB197:AB259" si="193">BH197/BT197*100</f>
        <v>80</v>
      </c>
      <c r="AC197" s="297">
        <f t="shared" si="163"/>
        <v>835000</v>
      </c>
      <c r="AD197" s="301">
        <f t="shared" ref="AD197:AD249" si="194">AD$2*AC197</f>
        <v>4175</v>
      </c>
      <c r="AE197" s="298"/>
      <c r="AJ197" s="108">
        <f t="shared" si="164"/>
        <v>0</v>
      </c>
      <c r="AK197" s="108">
        <f t="shared" si="165"/>
        <v>0</v>
      </c>
      <c r="AL197" s="108">
        <f t="shared" si="166"/>
        <v>0</v>
      </c>
      <c r="AM197" s="108">
        <f t="shared" si="167"/>
        <v>0</v>
      </c>
      <c r="AN197" s="108">
        <f t="shared" si="168"/>
        <v>0</v>
      </c>
      <c r="AO197" s="108">
        <f t="shared" si="169"/>
        <v>0</v>
      </c>
      <c r="AP197" s="108">
        <f t="shared" si="170"/>
        <v>0</v>
      </c>
      <c r="AQ197" s="108">
        <f t="shared" si="171"/>
        <v>0</v>
      </c>
      <c r="AR197" s="108">
        <f t="shared" si="172"/>
        <v>0</v>
      </c>
      <c r="AX197" s="108">
        <f t="shared" si="173"/>
        <v>4</v>
      </c>
      <c r="AY197" s="108">
        <f t="shared" si="174"/>
        <v>4</v>
      </c>
      <c r="AZ197" s="108">
        <f t="shared" si="175"/>
        <v>4</v>
      </c>
      <c r="BA197" s="108">
        <f t="shared" si="176"/>
        <v>4</v>
      </c>
      <c r="BB197" s="108">
        <f t="shared" si="177"/>
        <v>4</v>
      </c>
      <c r="BC197" s="108">
        <f t="shared" si="178"/>
        <v>4</v>
      </c>
      <c r="BD197" s="108">
        <f t="shared" si="179"/>
        <v>4</v>
      </c>
      <c r="BE197" s="108">
        <f t="shared" si="180"/>
        <v>4</v>
      </c>
      <c r="BF197" s="108">
        <f t="shared" si="181"/>
        <v>4</v>
      </c>
      <c r="BG197" s="108">
        <f t="shared" si="182"/>
        <v>4</v>
      </c>
      <c r="BH197" s="108">
        <f t="shared" ref="BH197:BH259" si="195">AX$2*AX197+AY$2*AY197+AZ$2*AZ197+BA$2*BA197+BB$2*BB197+BC$2*BC197+BD$2*BD197+BE$2*BE197+BF$2*BF197+BG$2*BG197</f>
        <v>80</v>
      </c>
      <c r="BJ197" s="108">
        <f t="shared" si="183"/>
        <v>5</v>
      </c>
      <c r="BK197" s="108">
        <f t="shared" si="184"/>
        <v>5</v>
      </c>
      <c r="BL197" s="108">
        <f t="shared" si="185"/>
        <v>5</v>
      </c>
      <c r="BM197" s="108">
        <f t="shared" si="186"/>
        <v>5</v>
      </c>
      <c r="BN197" s="108">
        <f t="shared" si="187"/>
        <v>5</v>
      </c>
      <c r="BO197" s="108">
        <f t="shared" si="188"/>
        <v>5</v>
      </c>
      <c r="BP197" s="108">
        <f t="shared" si="189"/>
        <v>5</v>
      </c>
      <c r="BQ197" s="108">
        <f t="shared" si="190"/>
        <v>5</v>
      </c>
      <c r="BR197" s="108">
        <f t="shared" si="191"/>
        <v>5</v>
      </c>
      <c r="BS197" s="108">
        <f t="shared" si="192"/>
        <v>5</v>
      </c>
      <c r="BT197" s="108">
        <f t="shared" ref="BT197:BT259" si="196">BJ$2*BJ197+BK$2*BK197+BL$2*BL197+BM$2*BM197+BN$2*BN197+BO$2*BO197+BP$2*BP197+BQ$2*BQ197+BR$2*BR197+BS$2*BS197</f>
        <v>100</v>
      </c>
    </row>
    <row r="198" spans="1:72" ht="25" customHeight="1" x14ac:dyDescent="0.3">
      <c r="A198" s="185"/>
      <c r="B198" s="116" t="s">
        <v>1478</v>
      </c>
      <c r="C198" s="126" t="s">
        <v>1437</v>
      </c>
      <c r="D198" s="124" t="s">
        <v>323</v>
      </c>
      <c r="E198" s="116" t="s">
        <v>1436</v>
      </c>
      <c r="F198" s="111">
        <v>7.0429833000000004</v>
      </c>
      <c r="G198" s="111">
        <v>134.25843280000001</v>
      </c>
      <c r="H198" s="295" t="s">
        <v>331</v>
      </c>
      <c r="I198" s="112" t="s">
        <v>380</v>
      </c>
      <c r="J198" s="112">
        <v>2020</v>
      </c>
      <c r="K198" s="295" t="s">
        <v>1414</v>
      </c>
      <c r="L198" s="183">
        <v>697</v>
      </c>
      <c r="M198" s="118" t="s">
        <v>308</v>
      </c>
      <c r="N198" s="118" t="s">
        <v>298</v>
      </c>
      <c r="O198" s="118" t="s">
        <v>1399</v>
      </c>
      <c r="P198" s="196" t="s">
        <v>298</v>
      </c>
      <c r="Q198" s="118" t="s">
        <v>309</v>
      </c>
      <c r="R198" s="154">
        <v>4</v>
      </c>
      <c r="S198" s="154">
        <v>4</v>
      </c>
      <c r="T198" s="154">
        <v>4</v>
      </c>
      <c r="U198" s="154">
        <v>4</v>
      </c>
      <c r="V198" s="154">
        <v>4</v>
      </c>
      <c r="W198" s="154">
        <v>4</v>
      </c>
      <c r="X198" s="154">
        <v>4</v>
      </c>
      <c r="Y198" s="154">
        <v>4</v>
      </c>
      <c r="Z198" s="154">
        <v>4</v>
      </c>
      <c r="AA198" s="154">
        <v>4</v>
      </c>
      <c r="AB198" s="296">
        <f t="shared" si="193"/>
        <v>80</v>
      </c>
      <c r="AC198" s="297">
        <f t="shared" si="163"/>
        <v>1742500</v>
      </c>
      <c r="AD198" s="301">
        <f t="shared" si="194"/>
        <v>8712.5</v>
      </c>
      <c r="AE198" s="298"/>
      <c r="AJ198" s="108">
        <f t="shared" si="164"/>
        <v>0</v>
      </c>
      <c r="AK198" s="108">
        <f t="shared" si="165"/>
        <v>0</v>
      </c>
      <c r="AL198" s="108">
        <f t="shared" si="166"/>
        <v>0</v>
      </c>
      <c r="AM198" s="108">
        <f t="shared" si="167"/>
        <v>0</v>
      </c>
      <c r="AN198" s="108">
        <f t="shared" si="168"/>
        <v>0</v>
      </c>
      <c r="AO198" s="108">
        <f t="shared" si="169"/>
        <v>0</v>
      </c>
      <c r="AP198" s="108">
        <f t="shared" si="170"/>
        <v>0</v>
      </c>
      <c r="AQ198" s="108">
        <f t="shared" si="171"/>
        <v>0</v>
      </c>
      <c r="AR198" s="108">
        <f t="shared" si="172"/>
        <v>0</v>
      </c>
      <c r="AX198" s="108">
        <f t="shared" si="173"/>
        <v>4</v>
      </c>
      <c r="AY198" s="108">
        <f t="shared" si="174"/>
        <v>4</v>
      </c>
      <c r="AZ198" s="108">
        <f t="shared" si="175"/>
        <v>4</v>
      </c>
      <c r="BA198" s="108">
        <f t="shared" si="176"/>
        <v>4</v>
      </c>
      <c r="BB198" s="108">
        <f t="shared" si="177"/>
        <v>4</v>
      </c>
      <c r="BC198" s="108">
        <f t="shared" si="178"/>
        <v>4</v>
      </c>
      <c r="BD198" s="108">
        <f t="shared" si="179"/>
        <v>4</v>
      </c>
      <c r="BE198" s="108">
        <f t="shared" si="180"/>
        <v>4</v>
      </c>
      <c r="BF198" s="108">
        <f t="shared" si="181"/>
        <v>4</v>
      </c>
      <c r="BG198" s="108">
        <f t="shared" si="182"/>
        <v>4</v>
      </c>
      <c r="BH198" s="108">
        <f t="shared" si="195"/>
        <v>80</v>
      </c>
      <c r="BJ198" s="108">
        <f t="shared" si="183"/>
        <v>5</v>
      </c>
      <c r="BK198" s="108">
        <f t="shared" si="184"/>
        <v>5</v>
      </c>
      <c r="BL198" s="108">
        <f t="shared" si="185"/>
        <v>5</v>
      </c>
      <c r="BM198" s="108">
        <f t="shared" si="186"/>
        <v>5</v>
      </c>
      <c r="BN198" s="108">
        <f t="shared" si="187"/>
        <v>5</v>
      </c>
      <c r="BO198" s="108">
        <f t="shared" si="188"/>
        <v>5</v>
      </c>
      <c r="BP198" s="108">
        <f t="shared" si="189"/>
        <v>5</v>
      </c>
      <c r="BQ198" s="108">
        <f t="shared" si="190"/>
        <v>5</v>
      </c>
      <c r="BR198" s="108">
        <f t="shared" si="191"/>
        <v>5</v>
      </c>
      <c r="BS198" s="108">
        <f t="shared" si="192"/>
        <v>5</v>
      </c>
      <c r="BT198" s="108">
        <f t="shared" si="196"/>
        <v>100</v>
      </c>
    </row>
    <row r="199" spans="1:72" ht="25" customHeight="1" x14ac:dyDescent="0.3">
      <c r="A199" s="185"/>
      <c r="B199" s="116" t="s">
        <v>1479</v>
      </c>
      <c r="C199" s="126" t="s">
        <v>1438</v>
      </c>
      <c r="D199" s="124" t="s">
        <v>323</v>
      </c>
      <c r="E199" s="116" t="s">
        <v>1439</v>
      </c>
      <c r="F199" s="111">
        <v>3.0063242469599998</v>
      </c>
      <c r="G199" s="111">
        <v>131.123664179</v>
      </c>
      <c r="H199" s="295" t="s">
        <v>1428</v>
      </c>
      <c r="I199" s="334" t="s">
        <v>859</v>
      </c>
      <c r="J199" s="112">
        <v>2017</v>
      </c>
      <c r="K199" s="295" t="s">
        <v>1440</v>
      </c>
      <c r="L199" s="183">
        <v>167</v>
      </c>
      <c r="M199" s="118" t="s">
        <v>308</v>
      </c>
      <c r="N199" s="118" t="s">
        <v>314</v>
      </c>
      <c r="O199" s="118" t="s">
        <v>314</v>
      </c>
      <c r="P199" s="196" t="s">
        <v>298</v>
      </c>
      <c r="Q199" s="118" t="s">
        <v>309</v>
      </c>
      <c r="R199" s="154">
        <v>3</v>
      </c>
      <c r="S199" s="154">
        <v>3</v>
      </c>
      <c r="T199" s="154">
        <v>3</v>
      </c>
      <c r="U199" s="154">
        <v>3</v>
      </c>
      <c r="V199" s="154">
        <v>3</v>
      </c>
      <c r="W199" s="154">
        <v>3</v>
      </c>
      <c r="X199" s="154">
        <v>3</v>
      </c>
      <c r="Y199" s="154">
        <v>3</v>
      </c>
      <c r="Z199" s="154">
        <v>3</v>
      </c>
      <c r="AA199" s="154">
        <v>3</v>
      </c>
      <c r="AB199" s="296">
        <f t="shared" si="193"/>
        <v>60</v>
      </c>
      <c r="AC199" s="297">
        <f t="shared" si="163"/>
        <v>417500</v>
      </c>
      <c r="AD199" s="301">
        <f t="shared" si="194"/>
        <v>2087.5</v>
      </c>
      <c r="AE199" s="298"/>
      <c r="AJ199" s="108">
        <f t="shared" si="164"/>
        <v>0</v>
      </c>
      <c r="AK199" s="108">
        <f t="shared" si="165"/>
        <v>0</v>
      </c>
      <c r="AL199" s="108">
        <f t="shared" si="166"/>
        <v>0</v>
      </c>
      <c r="AM199" s="108">
        <f t="shared" si="167"/>
        <v>0</v>
      </c>
      <c r="AN199" s="108">
        <f t="shared" si="168"/>
        <v>0</v>
      </c>
      <c r="AO199" s="108">
        <f t="shared" si="169"/>
        <v>0</v>
      </c>
      <c r="AP199" s="108">
        <f t="shared" si="170"/>
        <v>0</v>
      </c>
      <c r="AQ199" s="108">
        <f t="shared" si="171"/>
        <v>0</v>
      </c>
      <c r="AR199" s="108">
        <f t="shared" si="172"/>
        <v>0</v>
      </c>
      <c r="AX199" s="108">
        <f t="shared" si="173"/>
        <v>3</v>
      </c>
      <c r="AY199" s="108">
        <f t="shared" si="174"/>
        <v>3</v>
      </c>
      <c r="AZ199" s="108">
        <f t="shared" si="175"/>
        <v>3</v>
      </c>
      <c r="BA199" s="108">
        <f t="shared" si="176"/>
        <v>3</v>
      </c>
      <c r="BB199" s="108">
        <f t="shared" si="177"/>
        <v>3</v>
      </c>
      <c r="BC199" s="108">
        <f t="shared" si="178"/>
        <v>3</v>
      </c>
      <c r="BD199" s="108">
        <f t="shared" si="179"/>
        <v>3</v>
      </c>
      <c r="BE199" s="108">
        <f t="shared" si="180"/>
        <v>3</v>
      </c>
      <c r="BF199" s="108">
        <f t="shared" si="181"/>
        <v>3</v>
      </c>
      <c r="BG199" s="108">
        <f t="shared" si="182"/>
        <v>3</v>
      </c>
      <c r="BH199" s="108">
        <f t="shared" si="195"/>
        <v>60</v>
      </c>
      <c r="BJ199" s="108">
        <f t="shared" si="183"/>
        <v>5</v>
      </c>
      <c r="BK199" s="108">
        <f t="shared" si="184"/>
        <v>5</v>
      </c>
      <c r="BL199" s="108">
        <f t="shared" si="185"/>
        <v>5</v>
      </c>
      <c r="BM199" s="108">
        <f t="shared" si="186"/>
        <v>5</v>
      </c>
      <c r="BN199" s="108">
        <f t="shared" si="187"/>
        <v>5</v>
      </c>
      <c r="BO199" s="108">
        <f t="shared" si="188"/>
        <v>5</v>
      </c>
      <c r="BP199" s="108">
        <f t="shared" si="189"/>
        <v>5</v>
      </c>
      <c r="BQ199" s="108">
        <f t="shared" si="190"/>
        <v>5</v>
      </c>
      <c r="BR199" s="108">
        <f t="shared" si="191"/>
        <v>5</v>
      </c>
      <c r="BS199" s="108">
        <f t="shared" si="192"/>
        <v>5</v>
      </c>
      <c r="BT199" s="108">
        <f t="shared" si="196"/>
        <v>100</v>
      </c>
    </row>
    <row r="200" spans="1:72" ht="25" customHeight="1" x14ac:dyDescent="0.3">
      <c r="A200" s="185"/>
      <c r="B200" s="116" t="s">
        <v>1480</v>
      </c>
      <c r="C200" s="126" t="s">
        <v>1900</v>
      </c>
      <c r="D200" s="124" t="s">
        <v>323</v>
      </c>
      <c r="E200" s="116" t="s">
        <v>1441</v>
      </c>
      <c r="F200" s="111">
        <v>4.6565271512899997</v>
      </c>
      <c r="G200" s="111">
        <v>131.94963219900001</v>
      </c>
      <c r="H200" s="295" t="s">
        <v>1428</v>
      </c>
      <c r="I200" s="334" t="s">
        <v>859</v>
      </c>
      <c r="J200" s="112" t="s">
        <v>848</v>
      </c>
      <c r="K200" s="295" t="s">
        <v>848</v>
      </c>
      <c r="L200" s="183">
        <v>74</v>
      </c>
      <c r="M200" s="118" t="s">
        <v>308</v>
      </c>
      <c r="N200" s="118" t="s">
        <v>314</v>
      </c>
      <c r="O200" s="118" t="s">
        <v>314</v>
      </c>
      <c r="P200" s="196" t="s">
        <v>298</v>
      </c>
      <c r="Q200" s="118" t="s">
        <v>309</v>
      </c>
      <c r="R200" s="154">
        <v>1</v>
      </c>
      <c r="S200" s="154">
        <v>1</v>
      </c>
      <c r="T200" s="154">
        <v>1</v>
      </c>
      <c r="U200" s="154">
        <v>1</v>
      </c>
      <c r="V200" s="154">
        <v>1</v>
      </c>
      <c r="W200" s="154">
        <v>1</v>
      </c>
      <c r="X200" s="154">
        <v>1</v>
      </c>
      <c r="Y200" s="154">
        <v>1</v>
      </c>
      <c r="Z200" s="154">
        <v>1</v>
      </c>
      <c r="AA200" s="154">
        <v>1</v>
      </c>
      <c r="AB200" s="296">
        <f t="shared" si="193"/>
        <v>20</v>
      </c>
      <c r="AC200" s="297">
        <f t="shared" si="163"/>
        <v>185000</v>
      </c>
      <c r="AD200" s="301">
        <f t="shared" si="194"/>
        <v>925</v>
      </c>
      <c r="AE200" s="298"/>
      <c r="AJ200" s="108">
        <f t="shared" si="164"/>
        <v>74</v>
      </c>
      <c r="AK200" s="108">
        <f t="shared" si="165"/>
        <v>74</v>
      </c>
      <c r="AL200" s="108">
        <f t="shared" si="166"/>
        <v>74</v>
      </c>
      <c r="AM200" s="108">
        <f t="shared" si="167"/>
        <v>74</v>
      </c>
      <c r="AN200" s="108">
        <f t="shared" si="168"/>
        <v>74</v>
      </c>
      <c r="AO200" s="108">
        <f t="shared" si="169"/>
        <v>74</v>
      </c>
      <c r="AP200" s="108">
        <f t="shared" si="170"/>
        <v>74</v>
      </c>
      <c r="AQ200" s="108">
        <f t="shared" si="171"/>
        <v>74</v>
      </c>
      <c r="AR200" s="108">
        <f t="shared" si="172"/>
        <v>74</v>
      </c>
      <c r="AX200" s="108">
        <f t="shared" si="173"/>
        <v>1</v>
      </c>
      <c r="AY200" s="108">
        <f t="shared" si="174"/>
        <v>1</v>
      </c>
      <c r="AZ200" s="108">
        <f t="shared" si="175"/>
        <v>1</v>
      </c>
      <c r="BA200" s="108">
        <f t="shared" si="176"/>
        <v>1</v>
      </c>
      <c r="BB200" s="108">
        <f t="shared" si="177"/>
        <v>1</v>
      </c>
      <c r="BC200" s="108">
        <f t="shared" si="178"/>
        <v>1</v>
      </c>
      <c r="BD200" s="108">
        <f t="shared" si="179"/>
        <v>1</v>
      </c>
      <c r="BE200" s="108">
        <f t="shared" si="180"/>
        <v>1</v>
      </c>
      <c r="BF200" s="108">
        <f t="shared" si="181"/>
        <v>1</v>
      </c>
      <c r="BG200" s="108">
        <f t="shared" si="182"/>
        <v>1</v>
      </c>
      <c r="BH200" s="108">
        <f t="shared" si="195"/>
        <v>20</v>
      </c>
      <c r="BJ200" s="108">
        <f t="shared" si="183"/>
        <v>5</v>
      </c>
      <c r="BK200" s="108">
        <f t="shared" si="184"/>
        <v>5</v>
      </c>
      <c r="BL200" s="108">
        <f t="shared" si="185"/>
        <v>5</v>
      </c>
      <c r="BM200" s="108">
        <f t="shared" si="186"/>
        <v>5</v>
      </c>
      <c r="BN200" s="108">
        <f t="shared" si="187"/>
        <v>5</v>
      </c>
      <c r="BO200" s="108">
        <f t="shared" si="188"/>
        <v>5</v>
      </c>
      <c r="BP200" s="108">
        <f t="shared" si="189"/>
        <v>5</v>
      </c>
      <c r="BQ200" s="108">
        <f t="shared" si="190"/>
        <v>5</v>
      </c>
      <c r="BR200" s="108">
        <f t="shared" si="191"/>
        <v>5</v>
      </c>
      <c r="BS200" s="108">
        <f t="shared" si="192"/>
        <v>5</v>
      </c>
      <c r="BT200" s="108">
        <f t="shared" si="196"/>
        <v>100</v>
      </c>
    </row>
    <row r="201" spans="1:72" ht="25" customHeight="1" x14ac:dyDescent="0.3">
      <c r="A201" s="185"/>
      <c r="B201" s="116" t="s">
        <v>1480</v>
      </c>
      <c r="C201" s="126" t="s">
        <v>1442</v>
      </c>
      <c r="D201" s="124" t="s">
        <v>323</v>
      </c>
      <c r="E201" s="116" t="s">
        <v>1443</v>
      </c>
      <c r="F201" s="111">
        <v>5.3245404946899999</v>
      </c>
      <c r="G201" s="111">
        <v>132.22026647600001</v>
      </c>
      <c r="H201" s="295" t="s">
        <v>1428</v>
      </c>
      <c r="I201" s="334" t="s">
        <v>859</v>
      </c>
      <c r="J201" s="112" t="s">
        <v>848</v>
      </c>
      <c r="K201" s="295" t="s">
        <v>848</v>
      </c>
      <c r="L201" s="183">
        <v>74</v>
      </c>
      <c r="M201" s="118" t="s">
        <v>308</v>
      </c>
      <c r="N201" s="118" t="s">
        <v>314</v>
      </c>
      <c r="O201" s="118" t="s">
        <v>314</v>
      </c>
      <c r="P201" s="196" t="s">
        <v>298</v>
      </c>
      <c r="Q201" s="118" t="s">
        <v>309</v>
      </c>
      <c r="R201" s="154">
        <v>1</v>
      </c>
      <c r="S201" s="154">
        <v>1</v>
      </c>
      <c r="T201" s="154">
        <v>1</v>
      </c>
      <c r="U201" s="154">
        <v>1</v>
      </c>
      <c r="V201" s="154">
        <v>1</v>
      </c>
      <c r="W201" s="154">
        <v>1</v>
      </c>
      <c r="X201" s="154">
        <v>1</v>
      </c>
      <c r="Y201" s="154">
        <v>1</v>
      </c>
      <c r="Z201" s="154">
        <v>1</v>
      </c>
      <c r="AA201" s="154">
        <v>1</v>
      </c>
      <c r="AB201" s="296">
        <f t="shared" si="193"/>
        <v>20</v>
      </c>
      <c r="AC201" s="297">
        <f t="shared" si="163"/>
        <v>185000</v>
      </c>
      <c r="AD201" s="301">
        <f t="shared" si="194"/>
        <v>925</v>
      </c>
      <c r="AE201" s="463" t="s">
        <v>2685</v>
      </c>
      <c r="AF201" s="463"/>
      <c r="AJ201" s="108">
        <f t="shared" si="164"/>
        <v>74</v>
      </c>
      <c r="AK201" s="108">
        <f t="shared" si="165"/>
        <v>74</v>
      </c>
      <c r="AL201" s="108">
        <f t="shared" si="166"/>
        <v>74</v>
      </c>
      <c r="AM201" s="108">
        <f t="shared" si="167"/>
        <v>74</v>
      </c>
      <c r="AN201" s="108">
        <f t="shared" si="168"/>
        <v>74</v>
      </c>
      <c r="AO201" s="108">
        <f t="shared" si="169"/>
        <v>74</v>
      </c>
      <c r="AP201" s="108">
        <f t="shared" si="170"/>
        <v>74</v>
      </c>
      <c r="AQ201" s="108">
        <f t="shared" si="171"/>
        <v>74</v>
      </c>
      <c r="AR201" s="108">
        <f t="shared" si="172"/>
        <v>74</v>
      </c>
      <c r="AX201" s="108">
        <f t="shared" si="173"/>
        <v>1</v>
      </c>
      <c r="AY201" s="108">
        <f t="shared" si="174"/>
        <v>1</v>
      </c>
      <c r="AZ201" s="108">
        <f t="shared" si="175"/>
        <v>1</v>
      </c>
      <c r="BA201" s="108">
        <f t="shared" si="176"/>
        <v>1</v>
      </c>
      <c r="BB201" s="108">
        <f t="shared" si="177"/>
        <v>1</v>
      </c>
      <c r="BC201" s="108">
        <f t="shared" si="178"/>
        <v>1</v>
      </c>
      <c r="BD201" s="108">
        <f t="shared" si="179"/>
        <v>1</v>
      </c>
      <c r="BE201" s="108">
        <f t="shared" si="180"/>
        <v>1</v>
      </c>
      <c r="BF201" s="108">
        <f t="shared" si="181"/>
        <v>1</v>
      </c>
      <c r="BG201" s="108">
        <f t="shared" si="182"/>
        <v>1</v>
      </c>
      <c r="BH201" s="108">
        <f t="shared" si="195"/>
        <v>20</v>
      </c>
      <c r="BJ201" s="108">
        <f t="shared" si="183"/>
        <v>5</v>
      </c>
      <c r="BK201" s="108">
        <f t="shared" si="184"/>
        <v>5</v>
      </c>
      <c r="BL201" s="108">
        <f t="shared" si="185"/>
        <v>5</v>
      </c>
      <c r="BM201" s="108">
        <f t="shared" si="186"/>
        <v>5</v>
      </c>
      <c r="BN201" s="108">
        <f t="shared" si="187"/>
        <v>5</v>
      </c>
      <c r="BO201" s="108">
        <f t="shared" si="188"/>
        <v>5</v>
      </c>
      <c r="BP201" s="108">
        <f t="shared" si="189"/>
        <v>5</v>
      </c>
      <c r="BQ201" s="108">
        <f t="shared" si="190"/>
        <v>5</v>
      </c>
      <c r="BR201" s="108">
        <f t="shared" si="191"/>
        <v>5</v>
      </c>
      <c r="BS201" s="108">
        <f t="shared" si="192"/>
        <v>5</v>
      </c>
      <c r="BT201" s="108">
        <f t="shared" si="196"/>
        <v>100</v>
      </c>
    </row>
    <row r="202" spans="1:72" ht="25" customHeight="1" x14ac:dyDescent="0.3">
      <c r="A202" s="185"/>
      <c r="B202" s="116"/>
      <c r="C202" s="126"/>
      <c r="D202" s="124"/>
      <c r="E202" s="116"/>
      <c r="F202" s="111"/>
      <c r="G202" s="111"/>
      <c r="H202" s="295"/>
      <c r="I202" s="112"/>
      <c r="J202" s="112"/>
      <c r="K202" s="295"/>
      <c r="L202" s="117"/>
      <c r="M202" s="118"/>
      <c r="N202" s="118"/>
      <c r="O202" s="118"/>
      <c r="P202" s="117"/>
      <c r="Q202" s="117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296"/>
      <c r="AC202" s="297"/>
      <c r="AD202" s="301"/>
      <c r="AE202" s="302">
        <f>SUM(AC120:AC201)</f>
        <v>60600000</v>
      </c>
      <c r="AF202" s="302">
        <f>SUM(AD120:AD201)</f>
        <v>303000</v>
      </c>
      <c r="AG202" s="303"/>
      <c r="AH202" s="303"/>
      <c r="AI202" s="303"/>
      <c r="AJ202" s="304">
        <f>SUM(AJ120:AJ201)*AJ$2*$AS$1</f>
        <v>340500.00000000006</v>
      </c>
      <c r="AK202" s="304">
        <f t="shared" ref="AK202:AR202" si="197">SUM(AK120:AK201)*AK$2*$AS$1</f>
        <v>2090500</v>
      </c>
      <c r="AL202" s="304">
        <f t="shared" si="197"/>
        <v>531000</v>
      </c>
      <c r="AM202" s="304">
        <f t="shared" si="197"/>
        <v>1549500.0000000002</v>
      </c>
      <c r="AN202" s="304">
        <f t="shared" si="197"/>
        <v>581250</v>
      </c>
      <c r="AO202" s="304">
        <f t="shared" si="197"/>
        <v>1022000</v>
      </c>
      <c r="AP202" s="304">
        <f t="shared" si="197"/>
        <v>915425</v>
      </c>
      <c r="AQ202" s="304">
        <f t="shared" si="197"/>
        <v>118799.99999999999</v>
      </c>
      <c r="AR202" s="304">
        <f t="shared" si="197"/>
        <v>905625.00000000012</v>
      </c>
      <c r="AS202" s="305">
        <f>SUM(AJ202:AR202)</f>
        <v>8054600</v>
      </c>
      <c r="AX202" s="108">
        <f t="shared" si="173"/>
        <v>0</v>
      </c>
      <c r="AY202" s="108">
        <f t="shared" si="174"/>
        <v>0</v>
      </c>
      <c r="AZ202" s="108">
        <f t="shared" si="175"/>
        <v>0</v>
      </c>
      <c r="BA202" s="108">
        <f t="shared" si="176"/>
        <v>0</v>
      </c>
      <c r="BB202" s="108">
        <f t="shared" si="177"/>
        <v>0</v>
      </c>
      <c r="BC202" s="108">
        <f t="shared" si="178"/>
        <v>0</v>
      </c>
      <c r="BD202" s="108">
        <f t="shared" si="179"/>
        <v>0</v>
      </c>
      <c r="BE202" s="108">
        <f t="shared" si="180"/>
        <v>0</v>
      </c>
      <c r="BF202" s="108">
        <f t="shared" si="181"/>
        <v>0</v>
      </c>
      <c r="BG202" s="108">
        <f t="shared" si="182"/>
        <v>0</v>
      </c>
      <c r="BH202" s="108">
        <f t="shared" si="195"/>
        <v>0</v>
      </c>
      <c r="BJ202" s="108">
        <f t="shared" si="183"/>
        <v>0</v>
      </c>
      <c r="BK202" s="108">
        <f t="shared" si="184"/>
        <v>0</v>
      </c>
      <c r="BL202" s="108">
        <f t="shared" si="185"/>
        <v>0</v>
      </c>
      <c r="BM202" s="108">
        <f t="shared" si="186"/>
        <v>0</v>
      </c>
      <c r="BN202" s="108">
        <f t="shared" si="187"/>
        <v>0</v>
      </c>
      <c r="BO202" s="108">
        <f t="shared" si="188"/>
        <v>0</v>
      </c>
      <c r="BP202" s="108">
        <f t="shared" si="189"/>
        <v>0</v>
      </c>
      <c r="BQ202" s="108">
        <f t="shared" si="190"/>
        <v>0</v>
      </c>
      <c r="BR202" s="108">
        <f t="shared" si="191"/>
        <v>0</v>
      </c>
      <c r="BS202" s="108">
        <f t="shared" si="192"/>
        <v>0</v>
      </c>
      <c r="BT202" s="108">
        <f t="shared" si="196"/>
        <v>0</v>
      </c>
    </row>
    <row r="203" spans="1:72" ht="25" customHeight="1" x14ac:dyDescent="0.3">
      <c r="A203" s="185"/>
      <c r="B203" s="116" t="s">
        <v>1077</v>
      </c>
      <c r="C203" s="126" t="s">
        <v>911</v>
      </c>
      <c r="D203" s="124" t="s">
        <v>348</v>
      </c>
      <c r="E203" s="116" t="s">
        <v>808</v>
      </c>
      <c r="F203" s="111">
        <v>7.3411046000000004</v>
      </c>
      <c r="G203" s="111">
        <v>134.47548829999999</v>
      </c>
      <c r="H203" s="295" t="s">
        <v>331</v>
      </c>
      <c r="I203" s="112"/>
      <c r="J203" s="112" t="s">
        <v>848</v>
      </c>
      <c r="K203" s="295" t="s">
        <v>311</v>
      </c>
      <c r="L203" s="117">
        <v>256</v>
      </c>
      <c r="M203" s="118" t="s">
        <v>308</v>
      </c>
      <c r="N203" s="118" t="s">
        <v>298</v>
      </c>
      <c r="O203" s="118" t="s">
        <v>330</v>
      </c>
      <c r="P203" s="196" t="s">
        <v>322</v>
      </c>
      <c r="Q203" s="196" t="s">
        <v>309</v>
      </c>
      <c r="R203" s="154">
        <v>3</v>
      </c>
      <c r="S203" s="154">
        <v>3</v>
      </c>
      <c r="T203" s="154">
        <v>3</v>
      </c>
      <c r="U203" s="154">
        <v>3</v>
      </c>
      <c r="V203" s="154">
        <v>4</v>
      </c>
      <c r="W203" s="154">
        <v>2</v>
      </c>
      <c r="X203" s="154">
        <v>3</v>
      </c>
      <c r="Y203" s="154">
        <v>5</v>
      </c>
      <c r="Z203" s="154">
        <v>2</v>
      </c>
      <c r="AA203" s="154">
        <v>3</v>
      </c>
      <c r="AB203" s="296">
        <f t="shared" si="193"/>
        <v>61</v>
      </c>
      <c r="AC203" s="297">
        <f t="shared" ref="AC203:AC213" si="198">L203*AC$2</f>
        <v>640000</v>
      </c>
      <c r="AD203" s="301">
        <f t="shared" si="194"/>
        <v>3200</v>
      </c>
      <c r="AE203" s="298"/>
      <c r="AJ203" s="108">
        <f t="shared" ref="AJ203:AR207" si="199">IF(OR(R203=1,R203=2),$L203,0)</f>
        <v>0</v>
      </c>
      <c r="AK203" s="108">
        <f t="shared" si="199"/>
        <v>0</v>
      </c>
      <c r="AL203" s="108">
        <f t="shared" si="199"/>
        <v>0</v>
      </c>
      <c r="AM203" s="108">
        <f t="shared" si="199"/>
        <v>0</v>
      </c>
      <c r="AN203" s="108">
        <f t="shared" si="199"/>
        <v>0</v>
      </c>
      <c r="AO203" s="108">
        <f t="shared" si="199"/>
        <v>256</v>
      </c>
      <c r="AP203" s="108">
        <f t="shared" si="199"/>
        <v>0</v>
      </c>
      <c r="AQ203" s="108">
        <f t="shared" si="199"/>
        <v>0</v>
      </c>
      <c r="AR203" s="108">
        <f t="shared" si="199"/>
        <v>256</v>
      </c>
      <c r="AX203" s="108">
        <f t="shared" si="173"/>
        <v>3</v>
      </c>
      <c r="AY203" s="108">
        <f t="shared" si="174"/>
        <v>3</v>
      </c>
      <c r="AZ203" s="108">
        <f t="shared" si="175"/>
        <v>3</v>
      </c>
      <c r="BA203" s="108">
        <f t="shared" si="176"/>
        <v>3</v>
      </c>
      <c r="BB203" s="108">
        <f t="shared" si="177"/>
        <v>4</v>
      </c>
      <c r="BC203" s="108">
        <f t="shared" si="178"/>
        <v>2</v>
      </c>
      <c r="BD203" s="108">
        <f t="shared" si="179"/>
        <v>3</v>
      </c>
      <c r="BE203" s="108">
        <f t="shared" si="180"/>
        <v>5</v>
      </c>
      <c r="BF203" s="108">
        <f t="shared" si="181"/>
        <v>2</v>
      </c>
      <c r="BG203" s="108">
        <f t="shared" si="182"/>
        <v>3</v>
      </c>
      <c r="BH203" s="108">
        <f t="shared" si="195"/>
        <v>61</v>
      </c>
      <c r="BJ203" s="108">
        <f t="shared" si="183"/>
        <v>5</v>
      </c>
      <c r="BK203" s="108">
        <f t="shared" si="184"/>
        <v>5</v>
      </c>
      <c r="BL203" s="108">
        <f t="shared" si="185"/>
        <v>5</v>
      </c>
      <c r="BM203" s="108">
        <f t="shared" si="186"/>
        <v>5</v>
      </c>
      <c r="BN203" s="108">
        <f t="shared" si="187"/>
        <v>5</v>
      </c>
      <c r="BO203" s="108">
        <f t="shared" si="188"/>
        <v>5</v>
      </c>
      <c r="BP203" s="108">
        <f t="shared" si="189"/>
        <v>5</v>
      </c>
      <c r="BQ203" s="108">
        <f t="shared" si="190"/>
        <v>5</v>
      </c>
      <c r="BR203" s="108">
        <f t="shared" si="191"/>
        <v>5</v>
      </c>
      <c r="BS203" s="108">
        <f t="shared" si="192"/>
        <v>5</v>
      </c>
      <c r="BT203" s="108">
        <f t="shared" si="196"/>
        <v>100</v>
      </c>
    </row>
    <row r="204" spans="1:72" ht="25" customHeight="1" x14ac:dyDescent="0.3">
      <c r="A204" s="185"/>
      <c r="B204" s="116" t="s">
        <v>1078</v>
      </c>
      <c r="C204" s="126" t="s">
        <v>912</v>
      </c>
      <c r="D204" s="124" t="s">
        <v>348</v>
      </c>
      <c r="E204" s="116" t="s">
        <v>819</v>
      </c>
      <c r="F204" s="111">
        <v>7.3294107000000004</v>
      </c>
      <c r="G204" s="111">
        <v>134.4503392</v>
      </c>
      <c r="H204" s="295" t="s">
        <v>1510</v>
      </c>
      <c r="I204" s="112">
        <v>1998</v>
      </c>
      <c r="J204" s="112">
        <v>2017</v>
      </c>
      <c r="K204" s="295" t="s">
        <v>915</v>
      </c>
      <c r="L204" s="117">
        <v>291</v>
      </c>
      <c r="M204" s="118" t="s">
        <v>308</v>
      </c>
      <c r="N204" s="118" t="s">
        <v>298</v>
      </c>
      <c r="O204" s="118" t="s">
        <v>330</v>
      </c>
      <c r="P204" s="196" t="s">
        <v>322</v>
      </c>
      <c r="Q204" s="196" t="s">
        <v>309</v>
      </c>
      <c r="R204" s="154">
        <v>4</v>
      </c>
      <c r="S204" s="154">
        <v>4</v>
      </c>
      <c r="T204" s="154">
        <v>4</v>
      </c>
      <c r="U204" s="154">
        <v>4</v>
      </c>
      <c r="V204" s="154">
        <v>4</v>
      </c>
      <c r="W204" s="154">
        <v>4</v>
      </c>
      <c r="X204" s="154">
        <v>4</v>
      </c>
      <c r="Y204" s="154">
        <v>4</v>
      </c>
      <c r="Z204" s="154">
        <v>4</v>
      </c>
      <c r="AA204" s="154">
        <v>4</v>
      </c>
      <c r="AB204" s="296">
        <f t="shared" si="193"/>
        <v>80</v>
      </c>
      <c r="AC204" s="297">
        <f t="shared" si="198"/>
        <v>727500</v>
      </c>
      <c r="AD204" s="301">
        <f t="shared" si="194"/>
        <v>3637.5</v>
      </c>
      <c r="AE204" s="298"/>
      <c r="AJ204" s="108">
        <f t="shared" si="199"/>
        <v>0</v>
      </c>
      <c r="AK204" s="108">
        <f t="shared" si="199"/>
        <v>0</v>
      </c>
      <c r="AL204" s="108">
        <f t="shared" si="199"/>
        <v>0</v>
      </c>
      <c r="AM204" s="108">
        <f t="shared" si="199"/>
        <v>0</v>
      </c>
      <c r="AN204" s="108">
        <f t="shared" si="199"/>
        <v>0</v>
      </c>
      <c r="AO204" s="108">
        <f t="shared" si="199"/>
        <v>0</v>
      </c>
      <c r="AP204" s="108">
        <f t="shared" si="199"/>
        <v>0</v>
      </c>
      <c r="AQ204" s="108">
        <f t="shared" si="199"/>
        <v>0</v>
      </c>
      <c r="AR204" s="108">
        <f t="shared" si="199"/>
        <v>0</v>
      </c>
      <c r="AX204" s="108">
        <f t="shared" si="173"/>
        <v>4</v>
      </c>
      <c r="AY204" s="108">
        <f t="shared" si="174"/>
        <v>4</v>
      </c>
      <c r="AZ204" s="108">
        <f t="shared" si="175"/>
        <v>4</v>
      </c>
      <c r="BA204" s="108">
        <f t="shared" si="176"/>
        <v>4</v>
      </c>
      <c r="BB204" s="108">
        <f t="shared" si="177"/>
        <v>4</v>
      </c>
      <c r="BC204" s="108">
        <f t="shared" si="178"/>
        <v>4</v>
      </c>
      <c r="BD204" s="108">
        <f t="shared" si="179"/>
        <v>4</v>
      </c>
      <c r="BE204" s="108">
        <f t="shared" si="180"/>
        <v>4</v>
      </c>
      <c r="BF204" s="108">
        <f t="shared" si="181"/>
        <v>4</v>
      </c>
      <c r="BG204" s="108">
        <f t="shared" si="182"/>
        <v>4</v>
      </c>
      <c r="BH204" s="108">
        <f t="shared" si="195"/>
        <v>80</v>
      </c>
      <c r="BJ204" s="108">
        <f t="shared" si="183"/>
        <v>5</v>
      </c>
      <c r="BK204" s="108">
        <f t="shared" si="184"/>
        <v>5</v>
      </c>
      <c r="BL204" s="108">
        <f t="shared" si="185"/>
        <v>5</v>
      </c>
      <c r="BM204" s="108">
        <f t="shared" si="186"/>
        <v>5</v>
      </c>
      <c r="BN204" s="108">
        <f t="shared" si="187"/>
        <v>5</v>
      </c>
      <c r="BO204" s="108">
        <f t="shared" si="188"/>
        <v>5</v>
      </c>
      <c r="BP204" s="108">
        <f t="shared" si="189"/>
        <v>5</v>
      </c>
      <c r="BQ204" s="108">
        <f t="shared" si="190"/>
        <v>5</v>
      </c>
      <c r="BR204" s="108">
        <f t="shared" si="191"/>
        <v>5</v>
      </c>
      <c r="BS204" s="108">
        <f t="shared" si="192"/>
        <v>5</v>
      </c>
      <c r="BT204" s="108">
        <f t="shared" si="196"/>
        <v>100</v>
      </c>
    </row>
    <row r="205" spans="1:72" ht="25" customHeight="1" x14ac:dyDescent="0.3">
      <c r="A205" s="185"/>
      <c r="B205" s="116" t="s">
        <v>1079</v>
      </c>
      <c r="C205" s="126" t="s">
        <v>913</v>
      </c>
      <c r="D205" s="124" t="s">
        <v>348</v>
      </c>
      <c r="E205" s="116" t="s">
        <v>819</v>
      </c>
      <c r="F205" s="111">
        <v>7.3294107000000004</v>
      </c>
      <c r="G205" s="111">
        <v>134.4503392</v>
      </c>
      <c r="H205" s="295" t="s">
        <v>1509</v>
      </c>
      <c r="I205" s="112">
        <v>2017</v>
      </c>
      <c r="J205" s="112" t="s">
        <v>848</v>
      </c>
      <c r="K205" s="295" t="s">
        <v>311</v>
      </c>
      <c r="L205" s="117">
        <v>492</v>
      </c>
      <c r="M205" s="118" t="s">
        <v>308</v>
      </c>
      <c r="N205" s="118" t="s">
        <v>916</v>
      </c>
      <c r="O205" s="118" t="s">
        <v>917</v>
      </c>
      <c r="P205" s="196" t="s">
        <v>322</v>
      </c>
      <c r="Q205" s="196" t="s">
        <v>334</v>
      </c>
      <c r="R205" s="154">
        <v>4</v>
      </c>
      <c r="S205" s="154">
        <v>4</v>
      </c>
      <c r="T205" s="154">
        <v>4</v>
      </c>
      <c r="U205" s="154">
        <v>4</v>
      </c>
      <c r="V205" s="154">
        <v>4</v>
      </c>
      <c r="W205" s="154">
        <v>4</v>
      </c>
      <c r="X205" s="154">
        <v>4</v>
      </c>
      <c r="Y205" s="154">
        <v>4</v>
      </c>
      <c r="Z205" s="154">
        <v>4</v>
      </c>
      <c r="AA205" s="154">
        <v>4</v>
      </c>
      <c r="AB205" s="296">
        <f t="shared" si="193"/>
        <v>80</v>
      </c>
      <c r="AC205" s="297">
        <f t="shared" si="198"/>
        <v>1230000</v>
      </c>
      <c r="AD205" s="301">
        <f t="shared" si="194"/>
        <v>6150</v>
      </c>
      <c r="AE205" s="298"/>
      <c r="AJ205" s="108">
        <f t="shared" si="199"/>
        <v>0</v>
      </c>
      <c r="AK205" s="108">
        <f t="shared" si="199"/>
        <v>0</v>
      </c>
      <c r="AL205" s="108">
        <f t="shared" si="199"/>
        <v>0</v>
      </c>
      <c r="AM205" s="108">
        <f t="shared" si="199"/>
        <v>0</v>
      </c>
      <c r="AN205" s="108">
        <f t="shared" si="199"/>
        <v>0</v>
      </c>
      <c r="AO205" s="108">
        <f t="shared" si="199"/>
        <v>0</v>
      </c>
      <c r="AP205" s="108">
        <f t="shared" si="199"/>
        <v>0</v>
      </c>
      <c r="AQ205" s="108">
        <f t="shared" si="199"/>
        <v>0</v>
      </c>
      <c r="AR205" s="108">
        <f t="shared" si="199"/>
        <v>0</v>
      </c>
      <c r="AX205" s="108">
        <f t="shared" si="173"/>
        <v>4</v>
      </c>
      <c r="AY205" s="108">
        <f t="shared" si="174"/>
        <v>4</v>
      </c>
      <c r="AZ205" s="108">
        <f t="shared" si="175"/>
        <v>4</v>
      </c>
      <c r="BA205" s="108">
        <f t="shared" si="176"/>
        <v>4</v>
      </c>
      <c r="BB205" s="108">
        <f t="shared" si="177"/>
        <v>4</v>
      </c>
      <c r="BC205" s="108">
        <f t="shared" si="178"/>
        <v>4</v>
      </c>
      <c r="BD205" s="108">
        <f t="shared" si="179"/>
        <v>4</v>
      </c>
      <c r="BE205" s="108">
        <f t="shared" si="180"/>
        <v>4</v>
      </c>
      <c r="BF205" s="108">
        <f t="shared" si="181"/>
        <v>4</v>
      </c>
      <c r="BG205" s="108">
        <f t="shared" si="182"/>
        <v>4</v>
      </c>
      <c r="BH205" s="108">
        <f t="shared" si="195"/>
        <v>80</v>
      </c>
      <c r="BJ205" s="108">
        <f t="shared" si="183"/>
        <v>5</v>
      </c>
      <c r="BK205" s="108">
        <f t="shared" si="184"/>
        <v>5</v>
      </c>
      <c r="BL205" s="108">
        <f t="shared" si="185"/>
        <v>5</v>
      </c>
      <c r="BM205" s="108">
        <f t="shared" si="186"/>
        <v>5</v>
      </c>
      <c r="BN205" s="108">
        <f t="shared" si="187"/>
        <v>5</v>
      </c>
      <c r="BO205" s="108">
        <f t="shared" si="188"/>
        <v>5</v>
      </c>
      <c r="BP205" s="108">
        <f t="shared" si="189"/>
        <v>5</v>
      </c>
      <c r="BQ205" s="108">
        <f t="shared" si="190"/>
        <v>5</v>
      </c>
      <c r="BR205" s="108">
        <f t="shared" si="191"/>
        <v>5</v>
      </c>
      <c r="BS205" s="108">
        <f t="shared" si="192"/>
        <v>5</v>
      </c>
      <c r="BT205" s="108">
        <f t="shared" si="196"/>
        <v>100</v>
      </c>
    </row>
    <row r="206" spans="1:72" ht="25" customHeight="1" x14ac:dyDescent="0.3">
      <c r="A206" s="185"/>
      <c r="B206" s="116" t="s">
        <v>1080</v>
      </c>
      <c r="C206" s="126" t="s">
        <v>914</v>
      </c>
      <c r="D206" s="124" t="s">
        <v>348</v>
      </c>
      <c r="E206" s="116" t="s">
        <v>819</v>
      </c>
      <c r="F206" s="111">
        <v>7.3294372000000001</v>
      </c>
      <c r="G206" s="111">
        <v>134.4504321</v>
      </c>
      <c r="H206" s="295" t="s">
        <v>355</v>
      </c>
      <c r="I206" s="112">
        <v>2010</v>
      </c>
      <c r="J206" s="112" t="s">
        <v>848</v>
      </c>
      <c r="K206" s="295" t="s">
        <v>311</v>
      </c>
      <c r="L206" s="117">
        <v>114</v>
      </c>
      <c r="M206" s="118" t="s">
        <v>308</v>
      </c>
      <c r="N206" s="118" t="s">
        <v>298</v>
      </c>
      <c r="O206" s="118" t="s">
        <v>329</v>
      </c>
      <c r="P206" s="196" t="s">
        <v>322</v>
      </c>
      <c r="Q206" s="196" t="s">
        <v>309</v>
      </c>
      <c r="R206" s="154">
        <v>4</v>
      </c>
      <c r="S206" s="154">
        <v>4</v>
      </c>
      <c r="T206" s="154">
        <v>4</v>
      </c>
      <c r="U206" s="154">
        <v>4</v>
      </c>
      <c r="V206" s="154">
        <v>4</v>
      </c>
      <c r="W206" s="154">
        <v>4</v>
      </c>
      <c r="X206" s="154" t="s">
        <v>311</v>
      </c>
      <c r="Y206" s="154">
        <v>4</v>
      </c>
      <c r="Z206" s="154">
        <v>4</v>
      </c>
      <c r="AA206" s="154">
        <v>4</v>
      </c>
      <c r="AB206" s="296">
        <f t="shared" si="193"/>
        <v>80</v>
      </c>
      <c r="AC206" s="297">
        <f t="shared" si="198"/>
        <v>285000</v>
      </c>
      <c r="AD206" s="301">
        <f t="shared" si="194"/>
        <v>1425</v>
      </c>
      <c r="AE206" s="298"/>
      <c r="AJ206" s="108">
        <f t="shared" si="199"/>
        <v>0</v>
      </c>
      <c r="AK206" s="108">
        <f t="shared" si="199"/>
        <v>0</v>
      </c>
      <c r="AL206" s="108">
        <f t="shared" si="199"/>
        <v>0</v>
      </c>
      <c r="AM206" s="108">
        <f t="shared" si="199"/>
        <v>0</v>
      </c>
      <c r="AN206" s="108">
        <f t="shared" si="199"/>
        <v>0</v>
      </c>
      <c r="AO206" s="108">
        <f t="shared" si="199"/>
        <v>0</v>
      </c>
      <c r="AP206" s="108">
        <f t="shared" si="199"/>
        <v>0</v>
      </c>
      <c r="AQ206" s="108">
        <f t="shared" si="199"/>
        <v>0</v>
      </c>
      <c r="AR206" s="108">
        <f t="shared" si="199"/>
        <v>0</v>
      </c>
      <c r="AX206" s="108">
        <f t="shared" si="173"/>
        <v>4</v>
      </c>
      <c r="AY206" s="108">
        <f t="shared" si="174"/>
        <v>4</v>
      </c>
      <c r="AZ206" s="108">
        <f t="shared" si="175"/>
        <v>4</v>
      </c>
      <c r="BA206" s="108">
        <f t="shared" si="176"/>
        <v>4</v>
      </c>
      <c r="BB206" s="108">
        <f t="shared" si="177"/>
        <v>4</v>
      </c>
      <c r="BC206" s="108">
        <f t="shared" si="178"/>
        <v>4</v>
      </c>
      <c r="BD206" s="108">
        <f t="shared" si="179"/>
        <v>0</v>
      </c>
      <c r="BE206" s="108">
        <f t="shared" si="180"/>
        <v>4</v>
      </c>
      <c r="BF206" s="108">
        <f t="shared" si="181"/>
        <v>4</v>
      </c>
      <c r="BG206" s="108">
        <f t="shared" si="182"/>
        <v>4</v>
      </c>
      <c r="BH206" s="108">
        <f t="shared" si="195"/>
        <v>76</v>
      </c>
      <c r="BJ206" s="108">
        <f t="shared" si="183"/>
        <v>5</v>
      </c>
      <c r="BK206" s="108">
        <f t="shared" si="184"/>
        <v>5</v>
      </c>
      <c r="BL206" s="108">
        <f t="shared" si="185"/>
        <v>5</v>
      </c>
      <c r="BM206" s="108">
        <f t="shared" si="186"/>
        <v>5</v>
      </c>
      <c r="BN206" s="108">
        <f t="shared" si="187"/>
        <v>5</v>
      </c>
      <c r="BO206" s="108">
        <f t="shared" si="188"/>
        <v>5</v>
      </c>
      <c r="BP206" s="108">
        <f t="shared" si="189"/>
        <v>0</v>
      </c>
      <c r="BQ206" s="108">
        <f t="shared" si="190"/>
        <v>5</v>
      </c>
      <c r="BR206" s="108">
        <f t="shared" si="191"/>
        <v>5</v>
      </c>
      <c r="BS206" s="108">
        <f t="shared" si="192"/>
        <v>5</v>
      </c>
      <c r="BT206" s="108">
        <f t="shared" si="196"/>
        <v>95</v>
      </c>
    </row>
    <row r="207" spans="1:72" ht="25" customHeight="1" x14ac:dyDescent="0.3">
      <c r="A207" s="185"/>
      <c r="B207" s="116" t="s">
        <v>1081</v>
      </c>
      <c r="C207" s="126" t="s">
        <v>1506</v>
      </c>
      <c r="D207" s="124" t="s">
        <v>348</v>
      </c>
      <c r="E207" s="116" t="s">
        <v>808</v>
      </c>
      <c r="F207" s="111">
        <v>7.3419606000000002</v>
      </c>
      <c r="G207" s="111">
        <v>134.47580060000001</v>
      </c>
      <c r="H207" s="295" t="s">
        <v>1510</v>
      </c>
      <c r="I207" s="112"/>
      <c r="J207" s="112">
        <v>2018</v>
      </c>
      <c r="K207" s="295" t="s">
        <v>915</v>
      </c>
      <c r="L207" s="117">
        <v>290</v>
      </c>
      <c r="M207" s="118" t="s">
        <v>308</v>
      </c>
      <c r="N207" s="118" t="s">
        <v>298</v>
      </c>
      <c r="O207" s="118" t="s">
        <v>329</v>
      </c>
      <c r="P207" s="196" t="s">
        <v>322</v>
      </c>
      <c r="Q207" s="196" t="s">
        <v>309</v>
      </c>
      <c r="R207" s="154">
        <v>4</v>
      </c>
      <c r="S207" s="154">
        <v>4</v>
      </c>
      <c r="T207" s="154">
        <v>4</v>
      </c>
      <c r="U207" s="154">
        <v>2</v>
      </c>
      <c r="V207" s="154">
        <v>3</v>
      </c>
      <c r="W207" s="154">
        <v>2</v>
      </c>
      <c r="X207" s="154">
        <v>2</v>
      </c>
      <c r="Y207" s="154">
        <v>3</v>
      </c>
      <c r="Z207" s="154">
        <v>2</v>
      </c>
      <c r="AA207" s="154">
        <v>3</v>
      </c>
      <c r="AB207" s="296">
        <f t="shared" si="193"/>
        <v>66</v>
      </c>
      <c r="AC207" s="297">
        <f t="shared" si="198"/>
        <v>725000</v>
      </c>
      <c r="AD207" s="301">
        <f t="shared" si="194"/>
        <v>3625</v>
      </c>
      <c r="AE207" s="298"/>
      <c r="AJ207" s="108">
        <f t="shared" si="199"/>
        <v>0</v>
      </c>
      <c r="AK207" s="108">
        <f t="shared" si="199"/>
        <v>0</v>
      </c>
      <c r="AL207" s="108">
        <f t="shared" si="199"/>
        <v>0</v>
      </c>
      <c r="AM207" s="108">
        <f t="shared" si="199"/>
        <v>290</v>
      </c>
      <c r="AN207" s="108">
        <f t="shared" si="199"/>
        <v>0</v>
      </c>
      <c r="AO207" s="108">
        <f t="shared" si="199"/>
        <v>290</v>
      </c>
      <c r="AP207" s="108">
        <f t="shared" si="199"/>
        <v>290</v>
      </c>
      <c r="AQ207" s="108">
        <f t="shared" si="199"/>
        <v>0</v>
      </c>
      <c r="AR207" s="108">
        <f t="shared" si="199"/>
        <v>290</v>
      </c>
      <c r="AX207" s="108">
        <f t="shared" si="173"/>
        <v>4</v>
      </c>
      <c r="AY207" s="108">
        <f t="shared" si="174"/>
        <v>4</v>
      </c>
      <c r="AZ207" s="108">
        <f t="shared" si="175"/>
        <v>4</v>
      </c>
      <c r="BA207" s="108">
        <f t="shared" si="176"/>
        <v>2</v>
      </c>
      <c r="BB207" s="108">
        <f t="shared" si="177"/>
        <v>3</v>
      </c>
      <c r="BC207" s="108">
        <f t="shared" si="178"/>
        <v>2</v>
      </c>
      <c r="BD207" s="108">
        <f t="shared" si="179"/>
        <v>2</v>
      </c>
      <c r="BE207" s="108">
        <f t="shared" si="180"/>
        <v>3</v>
      </c>
      <c r="BF207" s="108">
        <f t="shared" si="181"/>
        <v>2</v>
      </c>
      <c r="BG207" s="108">
        <f t="shared" si="182"/>
        <v>3</v>
      </c>
      <c r="BH207" s="108">
        <f t="shared" si="195"/>
        <v>66</v>
      </c>
      <c r="BJ207" s="108">
        <f t="shared" si="183"/>
        <v>5</v>
      </c>
      <c r="BK207" s="108">
        <f t="shared" si="184"/>
        <v>5</v>
      </c>
      <c r="BL207" s="108">
        <f t="shared" si="185"/>
        <v>5</v>
      </c>
      <c r="BM207" s="108">
        <f t="shared" si="186"/>
        <v>5</v>
      </c>
      <c r="BN207" s="108">
        <f t="shared" si="187"/>
        <v>5</v>
      </c>
      <c r="BO207" s="108">
        <f t="shared" si="188"/>
        <v>5</v>
      </c>
      <c r="BP207" s="108">
        <f t="shared" si="189"/>
        <v>5</v>
      </c>
      <c r="BQ207" s="108">
        <f t="shared" si="190"/>
        <v>5</v>
      </c>
      <c r="BR207" s="108">
        <f t="shared" si="191"/>
        <v>5</v>
      </c>
      <c r="BS207" s="108">
        <f t="shared" si="192"/>
        <v>5</v>
      </c>
      <c r="BT207" s="108">
        <f t="shared" si="196"/>
        <v>100</v>
      </c>
    </row>
    <row r="208" spans="1:72" ht="25" customHeight="1" x14ac:dyDescent="0.3">
      <c r="A208" s="185"/>
      <c r="B208" s="335" t="s">
        <v>1082</v>
      </c>
      <c r="C208" s="158" t="s">
        <v>1901</v>
      </c>
      <c r="D208" s="124" t="s">
        <v>348</v>
      </c>
      <c r="E208" s="116" t="s">
        <v>808</v>
      </c>
      <c r="F208" s="111">
        <v>7.3419606000000002</v>
      </c>
      <c r="G208" s="111">
        <v>134.47580060000001</v>
      </c>
      <c r="H208" s="295" t="s">
        <v>921</v>
      </c>
      <c r="I208" s="112">
        <v>1978</v>
      </c>
      <c r="J208" s="112" t="s">
        <v>311</v>
      </c>
      <c r="K208" s="295" t="s">
        <v>311</v>
      </c>
      <c r="L208" s="117">
        <v>1176</v>
      </c>
      <c r="M208" s="118" t="s">
        <v>308</v>
      </c>
      <c r="N208" s="118" t="s">
        <v>298</v>
      </c>
      <c r="O208" s="118" t="s">
        <v>329</v>
      </c>
      <c r="P208" s="196" t="s">
        <v>322</v>
      </c>
      <c r="Q208" s="196" t="s">
        <v>309</v>
      </c>
      <c r="R208" s="154">
        <v>1</v>
      </c>
      <c r="S208" s="154">
        <v>1</v>
      </c>
      <c r="T208" s="154">
        <v>1</v>
      </c>
      <c r="U208" s="154">
        <v>1</v>
      </c>
      <c r="V208" s="154">
        <v>3</v>
      </c>
      <c r="W208" s="154">
        <v>1</v>
      </c>
      <c r="X208" s="154">
        <v>1</v>
      </c>
      <c r="Y208" s="154">
        <v>1</v>
      </c>
      <c r="Z208" s="154">
        <v>1</v>
      </c>
      <c r="AA208" s="154">
        <v>1</v>
      </c>
      <c r="AB208" s="296">
        <f t="shared" si="193"/>
        <v>22</v>
      </c>
      <c r="AC208" s="297">
        <f t="shared" si="198"/>
        <v>2940000</v>
      </c>
      <c r="AD208" s="301">
        <f t="shared" si="194"/>
        <v>14700</v>
      </c>
      <c r="AE208" s="298"/>
      <c r="AF208" s="336" t="s">
        <v>1968</v>
      </c>
      <c r="AX208" s="108">
        <f t="shared" si="173"/>
        <v>1</v>
      </c>
      <c r="AY208" s="108">
        <f t="shared" si="174"/>
        <v>1</v>
      </c>
      <c r="AZ208" s="108">
        <f t="shared" si="175"/>
        <v>1</v>
      </c>
      <c r="BA208" s="108">
        <f t="shared" si="176"/>
        <v>1</v>
      </c>
      <c r="BB208" s="108">
        <f t="shared" si="177"/>
        <v>3</v>
      </c>
      <c r="BC208" s="108">
        <f t="shared" si="178"/>
        <v>1</v>
      </c>
      <c r="BD208" s="108">
        <f t="shared" si="179"/>
        <v>1</v>
      </c>
      <c r="BE208" s="108">
        <f t="shared" si="180"/>
        <v>1</v>
      </c>
      <c r="BF208" s="108">
        <f t="shared" si="181"/>
        <v>1</v>
      </c>
      <c r="BG208" s="108">
        <f t="shared" si="182"/>
        <v>1</v>
      </c>
      <c r="BH208" s="108">
        <f t="shared" si="195"/>
        <v>22</v>
      </c>
      <c r="BJ208" s="108">
        <f t="shared" si="183"/>
        <v>5</v>
      </c>
      <c r="BK208" s="108">
        <f t="shared" si="184"/>
        <v>5</v>
      </c>
      <c r="BL208" s="108">
        <f t="shared" si="185"/>
        <v>5</v>
      </c>
      <c r="BM208" s="108">
        <f t="shared" si="186"/>
        <v>5</v>
      </c>
      <c r="BN208" s="108">
        <f t="shared" si="187"/>
        <v>5</v>
      </c>
      <c r="BO208" s="108">
        <f t="shared" si="188"/>
        <v>5</v>
      </c>
      <c r="BP208" s="108">
        <f t="shared" si="189"/>
        <v>5</v>
      </c>
      <c r="BQ208" s="108">
        <f t="shared" si="190"/>
        <v>5</v>
      </c>
      <c r="BR208" s="108">
        <f t="shared" si="191"/>
        <v>5</v>
      </c>
      <c r="BS208" s="108">
        <f t="shared" si="192"/>
        <v>5</v>
      </c>
      <c r="BT208" s="108">
        <f t="shared" si="196"/>
        <v>100</v>
      </c>
    </row>
    <row r="209" spans="1:72" ht="25" customHeight="1" x14ac:dyDescent="0.3">
      <c r="A209" s="185"/>
      <c r="B209" s="116" t="s">
        <v>1083</v>
      </c>
      <c r="C209" s="126" t="s">
        <v>918</v>
      </c>
      <c r="D209" s="124" t="s">
        <v>348</v>
      </c>
      <c r="E209" s="116" t="s">
        <v>808</v>
      </c>
      <c r="F209" s="111">
        <v>7.3414852000000002</v>
      </c>
      <c r="G209" s="111">
        <v>134.4756917</v>
      </c>
      <c r="H209" s="295" t="s">
        <v>1510</v>
      </c>
      <c r="I209" s="112">
        <v>2000</v>
      </c>
      <c r="J209" s="112">
        <v>2020</v>
      </c>
      <c r="K209" s="295" t="s">
        <v>923</v>
      </c>
      <c r="L209" s="117">
        <v>515</v>
      </c>
      <c r="M209" s="118" t="s">
        <v>308</v>
      </c>
      <c r="N209" s="118" t="s">
        <v>298</v>
      </c>
      <c r="O209" s="118" t="s">
        <v>329</v>
      </c>
      <c r="P209" s="196" t="s">
        <v>322</v>
      </c>
      <c r="Q209" s="196" t="s">
        <v>309</v>
      </c>
      <c r="R209" s="154">
        <v>5</v>
      </c>
      <c r="S209" s="154">
        <v>5</v>
      </c>
      <c r="T209" s="154">
        <v>5</v>
      </c>
      <c r="U209" s="154">
        <v>5</v>
      </c>
      <c r="V209" s="154">
        <v>5</v>
      </c>
      <c r="W209" s="154">
        <v>5</v>
      </c>
      <c r="X209" s="154">
        <v>5</v>
      </c>
      <c r="Y209" s="154">
        <v>5</v>
      </c>
      <c r="Z209" s="154">
        <v>5</v>
      </c>
      <c r="AA209" s="154">
        <v>5</v>
      </c>
      <c r="AB209" s="296">
        <f t="shared" si="193"/>
        <v>100</v>
      </c>
      <c r="AC209" s="297">
        <f t="shared" si="198"/>
        <v>1287500</v>
      </c>
      <c r="AD209" s="301">
        <f t="shared" si="194"/>
        <v>6437.5</v>
      </c>
      <c r="AE209" s="298"/>
      <c r="AJ209" s="108">
        <f t="shared" ref="AJ209:AR213" si="200">IF(OR(R209=1,R209=2),$L209,0)</f>
        <v>0</v>
      </c>
      <c r="AK209" s="108">
        <f t="shared" si="200"/>
        <v>0</v>
      </c>
      <c r="AL209" s="108">
        <f t="shared" si="200"/>
        <v>0</v>
      </c>
      <c r="AM209" s="108">
        <f t="shared" si="200"/>
        <v>0</v>
      </c>
      <c r="AN209" s="108">
        <f t="shared" si="200"/>
        <v>0</v>
      </c>
      <c r="AO209" s="108">
        <f t="shared" si="200"/>
        <v>0</v>
      </c>
      <c r="AP209" s="108">
        <f t="shared" si="200"/>
        <v>0</v>
      </c>
      <c r="AQ209" s="108">
        <f t="shared" si="200"/>
        <v>0</v>
      </c>
      <c r="AR209" s="108">
        <f t="shared" si="200"/>
        <v>0</v>
      </c>
      <c r="AX209" s="108">
        <f t="shared" si="173"/>
        <v>5</v>
      </c>
      <c r="AY209" s="108">
        <f t="shared" si="174"/>
        <v>5</v>
      </c>
      <c r="AZ209" s="108">
        <f t="shared" si="175"/>
        <v>5</v>
      </c>
      <c r="BA209" s="108">
        <f t="shared" si="176"/>
        <v>5</v>
      </c>
      <c r="BB209" s="108">
        <f t="shared" si="177"/>
        <v>5</v>
      </c>
      <c r="BC209" s="108">
        <f t="shared" si="178"/>
        <v>5</v>
      </c>
      <c r="BD209" s="108">
        <f t="shared" si="179"/>
        <v>5</v>
      </c>
      <c r="BE209" s="108">
        <f t="shared" si="180"/>
        <v>5</v>
      </c>
      <c r="BF209" s="108">
        <f t="shared" si="181"/>
        <v>5</v>
      </c>
      <c r="BG209" s="108">
        <f t="shared" si="182"/>
        <v>5</v>
      </c>
      <c r="BH209" s="108">
        <f t="shared" si="195"/>
        <v>100</v>
      </c>
      <c r="BJ209" s="108">
        <f t="shared" si="183"/>
        <v>5</v>
      </c>
      <c r="BK209" s="108">
        <f t="shared" si="184"/>
        <v>5</v>
      </c>
      <c r="BL209" s="108">
        <f t="shared" si="185"/>
        <v>5</v>
      </c>
      <c r="BM209" s="108">
        <f t="shared" si="186"/>
        <v>5</v>
      </c>
      <c r="BN209" s="108">
        <f t="shared" si="187"/>
        <v>5</v>
      </c>
      <c r="BO209" s="108">
        <f t="shared" si="188"/>
        <v>5</v>
      </c>
      <c r="BP209" s="108">
        <f t="shared" si="189"/>
        <v>5</v>
      </c>
      <c r="BQ209" s="108">
        <f t="shared" si="190"/>
        <v>5</v>
      </c>
      <c r="BR209" s="108">
        <f t="shared" si="191"/>
        <v>5</v>
      </c>
      <c r="BS209" s="108">
        <f t="shared" si="192"/>
        <v>5</v>
      </c>
      <c r="BT209" s="108">
        <f t="shared" si="196"/>
        <v>100</v>
      </c>
    </row>
    <row r="210" spans="1:72" ht="25" customHeight="1" x14ac:dyDescent="0.3">
      <c r="A210" s="185"/>
      <c r="B210" s="116" t="s">
        <v>1084</v>
      </c>
      <c r="C210" s="126" t="s">
        <v>919</v>
      </c>
      <c r="D210" s="124" t="s">
        <v>348</v>
      </c>
      <c r="E210" s="116" t="s">
        <v>808</v>
      </c>
      <c r="F210" s="111">
        <v>7.3419606000000002</v>
      </c>
      <c r="G210" s="111">
        <v>134.47580060000001</v>
      </c>
      <c r="H210" s="295" t="s">
        <v>1507</v>
      </c>
      <c r="I210" s="112">
        <v>1978</v>
      </c>
      <c r="J210" s="112"/>
      <c r="K210" s="295" t="s">
        <v>311</v>
      </c>
      <c r="L210" s="117">
        <v>149</v>
      </c>
      <c r="M210" s="118" t="s">
        <v>308</v>
      </c>
      <c r="N210" s="118" t="s">
        <v>916</v>
      </c>
      <c r="O210" s="118" t="s">
        <v>329</v>
      </c>
      <c r="P210" s="196" t="s">
        <v>322</v>
      </c>
      <c r="Q210" s="196" t="s">
        <v>924</v>
      </c>
      <c r="R210" s="154">
        <v>3</v>
      </c>
      <c r="S210" s="154">
        <v>2</v>
      </c>
      <c r="T210" s="154">
        <v>3</v>
      </c>
      <c r="U210" s="154">
        <v>1</v>
      </c>
      <c r="V210" s="154">
        <v>3</v>
      </c>
      <c r="W210" s="154">
        <v>1</v>
      </c>
      <c r="X210" s="154">
        <v>1</v>
      </c>
      <c r="Y210" s="154">
        <v>3</v>
      </c>
      <c r="Z210" s="154">
        <v>2</v>
      </c>
      <c r="AA210" s="154">
        <v>3</v>
      </c>
      <c r="AB210" s="296">
        <f t="shared" si="193"/>
        <v>48</v>
      </c>
      <c r="AC210" s="297">
        <f t="shared" si="198"/>
        <v>372500</v>
      </c>
      <c r="AD210" s="301">
        <f t="shared" si="194"/>
        <v>1862.5</v>
      </c>
      <c r="AE210" s="298"/>
      <c r="AJ210" s="108">
        <f t="shared" si="200"/>
        <v>0</v>
      </c>
      <c r="AK210" s="108">
        <f t="shared" si="200"/>
        <v>149</v>
      </c>
      <c r="AL210" s="108">
        <f t="shared" si="200"/>
        <v>0</v>
      </c>
      <c r="AM210" s="108">
        <f t="shared" si="200"/>
        <v>149</v>
      </c>
      <c r="AN210" s="108">
        <f t="shared" si="200"/>
        <v>0</v>
      </c>
      <c r="AO210" s="108">
        <f t="shared" si="200"/>
        <v>149</v>
      </c>
      <c r="AP210" s="108">
        <f t="shared" si="200"/>
        <v>149</v>
      </c>
      <c r="AQ210" s="108">
        <f t="shared" si="200"/>
        <v>0</v>
      </c>
      <c r="AR210" s="108">
        <f t="shared" si="200"/>
        <v>149</v>
      </c>
      <c r="AX210" s="108">
        <f t="shared" si="173"/>
        <v>3</v>
      </c>
      <c r="AY210" s="108">
        <f t="shared" si="174"/>
        <v>2</v>
      </c>
      <c r="AZ210" s="108">
        <f t="shared" si="175"/>
        <v>3</v>
      </c>
      <c r="BA210" s="108">
        <f t="shared" si="176"/>
        <v>1</v>
      </c>
      <c r="BB210" s="108">
        <f t="shared" si="177"/>
        <v>3</v>
      </c>
      <c r="BC210" s="108">
        <f t="shared" si="178"/>
        <v>1</v>
      </c>
      <c r="BD210" s="108">
        <f t="shared" si="179"/>
        <v>1</v>
      </c>
      <c r="BE210" s="108">
        <f t="shared" si="180"/>
        <v>3</v>
      </c>
      <c r="BF210" s="108">
        <f t="shared" si="181"/>
        <v>2</v>
      </c>
      <c r="BG210" s="108">
        <f t="shared" si="182"/>
        <v>3</v>
      </c>
      <c r="BH210" s="108">
        <f t="shared" si="195"/>
        <v>48</v>
      </c>
      <c r="BJ210" s="108">
        <f t="shared" si="183"/>
        <v>5</v>
      </c>
      <c r="BK210" s="108">
        <f t="shared" si="184"/>
        <v>5</v>
      </c>
      <c r="BL210" s="108">
        <f t="shared" si="185"/>
        <v>5</v>
      </c>
      <c r="BM210" s="108">
        <f t="shared" si="186"/>
        <v>5</v>
      </c>
      <c r="BN210" s="108">
        <f t="shared" si="187"/>
        <v>5</v>
      </c>
      <c r="BO210" s="108">
        <f t="shared" si="188"/>
        <v>5</v>
      </c>
      <c r="BP210" s="108">
        <f t="shared" si="189"/>
        <v>5</v>
      </c>
      <c r="BQ210" s="108">
        <f t="shared" si="190"/>
        <v>5</v>
      </c>
      <c r="BR210" s="108">
        <f t="shared" si="191"/>
        <v>5</v>
      </c>
      <c r="BS210" s="108">
        <f t="shared" si="192"/>
        <v>5</v>
      </c>
      <c r="BT210" s="108">
        <f t="shared" si="196"/>
        <v>100</v>
      </c>
    </row>
    <row r="211" spans="1:72" ht="25" customHeight="1" x14ac:dyDescent="0.3">
      <c r="A211" s="185"/>
      <c r="B211" s="116" t="s">
        <v>1085</v>
      </c>
      <c r="C211" s="126" t="s">
        <v>920</v>
      </c>
      <c r="D211" s="124" t="s">
        <v>348</v>
      </c>
      <c r="E211" s="116" t="s">
        <v>576</v>
      </c>
      <c r="F211" s="111">
        <v>7.5049593999999997</v>
      </c>
      <c r="G211" s="111">
        <v>134.61461729999999</v>
      </c>
      <c r="H211" s="295" t="s">
        <v>1508</v>
      </c>
      <c r="I211" s="112"/>
      <c r="J211" s="112"/>
      <c r="K211" s="295"/>
      <c r="L211" s="117">
        <v>232</v>
      </c>
      <c r="M211" s="118" t="s">
        <v>308</v>
      </c>
      <c r="N211" s="118" t="s">
        <v>916</v>
      </c>
      <c r="O211" s="118" t="s">
        <v>925</v>
      </c>
      <c r="P211" s="196" t="s">
        <v>322</v>
      </c>
      <c r="Q211" s="196" t="s">
        <v>924</v>
      </c>
      <c r="R211" s="154">
        <v>4</v>
      </c>
      <c r="S211" s="154">
        <v>4</v>
      </c>
      <c r="T211" s="154">
        <v>4</v>
      </c>
      <c r="U211" s="154">
        <v>3</v>
      </c>
      <c r="V211" s="154">
        <v>3</v>
      </c>
      <c r="W211" s="154">
        <v>3</v>
      </c>
      <c r="X211" s="154">
        <v>2</v>
      </c>
      <c r="Y211" s="154">
        <v>2</v>
      </c>
      <c r="Z211" s="154">
        <v>2</v>
      </c>
      <c r="AA211" s="154">
        <v>3</v>
      </c>
      <c r="AB211" s="296">
        <f t="shared" si="193"/>
        <v>67</v>
      </c>
      <c r="AC211" s="297">
        <f t="shared" si="198"/>
        <v>580000</v>
      </c>
      <c r="AD211" s="301">
        <f t="shared" si="194"/>
        <v>2900</v>
      </c>
      <c r="AE211" s="298"/>
      <c r="AJ211" s="108">
        <f t="shared" si="200"/>
        <v>0</v>
      </c>
      <c r="AK211" s="108">
        <f t="shared" si="200"/>
        <v>0</v>
      </c>
      <c r="AL211" s="108">
        <f t="shared" si="200"/>
        <v>0</v>
      </c>
      <c r="AM211" s="108">
        <f t="shared" si="200"/>
        <v>0</v>
      </c>
      <c r="AN211" s="108">
        <f t="shared" si="200"/>
        <v>0</v>
      </c>
      <c r="AO211" s="108">
        <f t="shared" si="200"/>
        <v>0</v>
      </c>
      <c r="AP211" s="108">
        <f t="shared" si="200"/>
        <v>232</v>
      </c>
      <c r="AQ211" s="108">
        <f t="shared" si="200"/>
        <v>232</v>
      </c>
      <c r="AR211" s="108">
        <f t="shared" si="200"/>
        <v>232</v>
      </c>
      <c r="AX211" s="108">
        <f t="shared" si="173"/>
        <v>4</v>
      </c>
      <c r="AY211" s="108">
        <f t="shared" si="174"/>
        <v>4</v>
      </c>
      <c r="AZ211" s="108">
        <f t="shared" si="175"/>
        <v>4</v>
      </c>
      <c r="BA211" s="108">
        <f t="shared" si="176"/>
        <v>3</v>
      </c>
      <c r="BB211" s="108">
        <f t="shared" si="177"/>
        <v>3</v>
      </c>
      <c r="BC211" s="108">
        <f t="shared" si="178"/>
        <v>3</v>
      </c>
      <c r="BD211" s="108">
        <f t="shared" si="179"/>
        <v>2</v>
      </c>
      <c r="BE211" s="108">
        <f t="shared" si="180"/>
        <v>2</v>
      </c>
      <c r="BF211" s="108">
        <f t="shared" si="181"/>
        <v>2</v>
      </c>
      <c r="BG211" s="108">
        <f t="shared" si="182"/>
        <v>3</v>
      </c>
      <c r="BH211" s="108">
        <f t="shared" si="195"/>
        <v>67</v>
      </c>
      <c r="BJ211" s="108">
        <f t="shared" si="183"/>
        <v>5</v>
      </c>
      <c r="BK211" s="108">
        <f t="shared" si="184"/>
        <v>5</v>
      </c>
      <c r="BL211" s="108">
        <f t="shared" si="185"/>
        <v>5</v>
      </c>
      <c r="BM211" s="108">
        <f t="shared" si="186"/>
        <v>5</v>
      </c>
      <c r="BN211" s="108">
        <f t="shared" si="187"/>
        <v>5</v>
      </c>
      <c r="BO211" s="108">
        <f t="shared" si="188"/>
        <v>5</v>
      </c>
      <c r="BP211" s="108">
        <f t="shared" si="189"/>
        <v>5</v>
      </c>
      <c r="BQ211" s="108">
        <f t="shared" si="190"/>
        <v>5</v>
      </c>
      <c r="BR211" s="108">
        <f t="shared" si="191"/>
        <v>5</v>
      </c>
      <c r="BS211" s="108">
        <f t="shared" si="192"/>
        <v>5</v>
      </c>
      <c r="BT211" s="108">
        <f t="shared" si="196"/>
        <v>100</v>
      </c>
    </row>
    <row r="212" spans="1:72" ht="25" customHeight="1" x14ac:dyDescent="0.3">
      <c r="A212" s="185"/>
      <c r="B212" s="116" t="s">
        <v>1086</v>
      </c>
      <c r="C212" s="126" t="s">
        <v>922</v>
      </c>
      <c r="D212" s="124" t="s">
        <v>348</v>
      </c>
      <c r="E212" s="116" t="s">
        <v>441</v>
      </c>
      <c r="F212" s="111"/>
      <c r="G212" s="111"/>
      <c r="H212" s="295" t="s">
        <v>1508</v>
      </c>
      <c r="I212" s="112"/>
      <c r="J212" s="112"/>
      <c r="K212" s="295"/>
      <c r="L212" s="117">
        <v>244</v>
      </c>
      <c r="M212" s="118" t="s">
        <v>308</v>
      </c>
      <c r="N212" s="118" t="s">
        <v>916</v>
      </c>
      <c r="O212" s="118" t="s">
        <v>925</v>
      </c>
      <c r="P212" s="196" t="s">
        <v>322</v>
      </c>
      <c r="Q212" s="196" t="s">
        <v>924</v>
      </c>
      <c r="R212" s="154">
        <v>4</v>
      </c>
      <c r="S212" s="154">
        <v>4</v>
      </c>
      <c r="T212" s="154">
        <v>3</v>
      </c>
      <c r="U212" s="154">
        <v>3</v>
      </c>
      <c r="V212" s="154">
        <v>4</v>
      </c>
      <c r="W212" s="154">
        <v>3</v>
      </c>
      <c r="X212" s="154">
        <v>3</v>
      </c>
      <c r="Y212" s="154">
        <v>3</v>
      </c>
      <c r="Z212" s="154">
        <v>3</v>
      </c>
      <c r="AA212" s="154">
        <v>3</v>
      </c>
      <c r="AB212" s="296">
        <f t="shared" si="193"/>
        <v>69</v>
      </c>
      <c r="AC212" s="297">
        <f t="shared" si="198"/>
        <v>610000</v>
      </c>
      <c r="AD212" s="301">
        <f t="shared" si="194"/>
        <v>3050</v>
      </c>
      <c r="AE212" s="298"/>
      <c r="AJ212" s="108">
        <f t="shared" si="200"/>
        <v>0</v>
      </c>
      <c r="AK212" s="108">
        <f t="shared" si="200"/>
        <v>0</v>
      </c>
      <c r="AL212" s="108">
        <f t="shared" si="200"/>
        <v>0</v>
      </c>
      <c r="AM212" s="108">
        <f t="shared" si="200"/>
        <v>0</v>
      </c>
      <c r="AN212" s="108">
        <f t="shared" si="200"/>
        <v>0</v>
      </c>
      <c r="AO212" s="108">
        <f t="shared" si="200"/>
        <v>0</v>
      </c>
      <c r="AP212" s="108">
        <f t="shared" si="200"/>
        <v>0</v>
      </c>
      <c r="AQ212" s="108">
        <f t="shared" si="200"/>
        <v>0</v>
      </c>
      <c r="AR212" s="108">
        <f t="shared" si="200"/>
        <v>0</v>
      </c>
      <c r="AX212" s="108">
        <f t="shared" si="173"/>
        <v>4</v>
      </c>
      <c r="AY212" s="108">
        <f t="shared" si="174"/>
        <v>4</v>
      </c>
      <c r="AZ212" s="108">
        <f t="shared" si="175"/>
        <v>3</v>
      </c>
      <c r="BA212" s="108">
        <f t="shared" si="176"/>
        <v>3</v>
      </c>
      <c r="BB212" s="108">
        <f t="shared" si="177"/>
        <v>4</v>
      </c>
      <c r="BC212" s="108">
        <f t="shared" si="178"/>
        <v>3</v>
      </c>
      <c r="BD212" s="108">
        <f t="shared" si="179"/>
        <v>3</v>
      </c>
      <c r="BE212" s="108">
        <f t="shared" si="180"/>
        <v>3</v>
      </c>
      <c r="BF212" s="108">
        <f t="shared" si="181"/>
        <v>3</v>
      </c>
      <c r="BG212" s="108">
        <f t="shared" si="182"/>
        <v>3</v>
      </c>
      <c r="BH212" s="108">
        <f t="shared" si="195"/>
        <v>69</v>
      </c>
      <c r="BJ212" s="108">
        <f t="shared" si="183"/>
        <v>5</v>
      </c>
      <c r="BK212" s="108">
        <f t="shared" si="184"/>
        <v>5</v>
      </c>
      <c r="BL212" s="108">
        <f t="shared" si="185"/>
        <v>5</v>
      </c>
      <c r="BM212" s="108">
        <f t="shared" si="186"/>
        <v>5</v>
      </c>
      <c r="BN212" s="108">
        <f t="shared" si="187"/>
        <v>5</v>
      </c>
      <c r="BO212" s="108">
        <f t="shared" si="188"/>
        <v>5</v>
      </c>
      <c r="BP212" s="108">
        <f t="shared" si="189"/>
        <v>5</v>
      </c>
      <c r="BQ212" s="108">
        <f t="shared" si="190"/>
        <v>5</v>
      </c>
      <c r="BR212" s="108">
        <f t="shared" si="191"/>
        <v>5</v>
      </c>
      <c r="BS212" s="108">
        <f t="shared" si="192"/>
        <v>5</v>
      </c>
      <c r="BT212" s="108">
        <f t="shared" si="196"/>
        <v>100</v>
      </c>
    </row>
    <row r="213" spans="1:72" ht="25" customHeight="1" x14ac:dyDescent="0.3">
      <c r="A213" s="185"/>
      <c r="B213" s="116" t="s">
        <v>1492</v>
      </c>
      <c r="C213" s="126" t="s">
        <v>347</v>
      </c>
      <c r="D213" s="124" t="s">
        <v>348</v>
      </c>
      <c r="E213" s="116" t="s">
        <v>344</v>
      </c>
      <c r="F213" s="111"/>
      <c r="G213" s="111"/>
      <c r="H213" s="295" t="s">
        <v>354</v>
      </c>
      <c r="I213" s="112">
        <v>2010</v>
      </c>
      <c r="J213" s="112">
        <v>2014</v>
      </c>
      <c r="K213" s="295" t="s">
        <v>349</v>
      </c>
      <c r="L213" s="117"/>
      <c r="M213" s="118" t="s">
        <v>308</v>
      </c>
      <c r="N213" s="118" t="s">
        <v>298</v>
      </c>
      <c r="O213" s="118" t="s">
        <v>329</v>
      </c>
      <c r="P213" s="196" t="s">
        <v>322</v>
      </c>
      <c r="Q213" s="118" t="s">
        <v>298</v>
      </c>
      <c r="R213" s="154">
        <v>5</v>
      </c>
      <c r="S213" s="154">
        <v>5</v>
      </c>
      <c r="T213" s="154">
        <v>4</v>
      </c>
      <c r="U213" s="154">
        <v>4</v>
      </c>
      <c r="V213" s="154">
        <v>4</v>
      </c>
      <c r="W213" s="154">
        <v>4</v>
      </c>
      <c r="X213" s="154">
        <v>4</v>
      </c>
      <c r="Y213" s="154">
        <v>5</v>
      </c>
      <c r="Z213" s="154">
        <v>4</v>
      </c>
      <c r="AA213" s="154">
        <v>5</v>
      </c>
      <c r="AB213" s="296">
        <f t="shared" si="193"/>
        <v>93</v>
      </c>
      <c r="AC213" s="297">
        <f t="shared" si="198"/>
        <v>0</v>
      </c>
      <c r="AD213" s="301">
        <f t="shared" si="194"/>
        <v>0</v>
      </c>
      <c r="AE213" s="463" t="s">
        <v>2684</v>
      </c>
      <c r="AF213" s="463"/>
      <c r="AJ213" s="108">
        <f t="shared" si="200"/>
        <v>0</v>
      </c>
      <c r="AK213" s="108">
        <f t="shared" si="200"/>
        <v>0</v>
      </c>
      <c r="AL213" s="108">
        <f t="shared" si="200"/>
        <v>0</v>
      </c>
      <c r="AM213" s="108">
        <f t="shared" si="200"/>
        <v>0</v>
      </c>
      <c r="AN213" s="108">
        <f t="shared" si="200"/>
        <v>0</v>
      </c>
      <c r="AO213" s="108">
        <f t="shared" si="200"/>
        <v>0</v>
      </c>
      <c r="AP213" s="108">
        <f t="shared" si="200"/>
        <v>0</v>
      </c>
      <c r="AQ213" s="108">
        <f t="shared" si="200"/>
        <v>0</v>
      </c>
      <c r="AR213" s="108">
        <f t="shared" si="200"/>
        <v>0</v>
      </c>
      <c r="AX213" s="108">
        <f t="shared" si="173"/>
        <v>5</v>
      </c>
      <c r="AY213" s="108">
        <f t="shared" si="174"/>
        <v>5</v>
      </c>
      <c r="AZ213" s="108">
        <f t="shared" si="175"/>
        <v>4</v>
      </c>
      <c r="BA213" s="108">
        <f t="shared" si="176"/>
        <v>4</v>
      </c>
      <c r="BB213" s="108">
        <f t="shared" si="177"/>
        <v>4</v>
      </c>
      <c r="BC213" s="108">
        <f t="shared" si="178"/>
        <v>4</v>
      </c>
      <c r="BD213" s="108">
        <f t="shared" si="179"/>
        <v>4</v>
      </c>
      <c r="BE213" s="108">
        <f t="shared" si="180"/>
        <v>5</v>
      </c>
      <c r="BF213" s="108">
        <f t="shared" si="181"/>
        <v>4</v>
      </c>
      <c r="BG213" s="108">
        <f t="shared" si="182"/>
        <v>5</v>
      </c>
      <c r="BH213" s="108">
        <f t="shared" si="195"/>
        <v>93</v>
      </c>
      <c r="BJ213" s="108">
        <f t="shared" si="183"/>
        <v>5</v>
      </c>
      <c r="BK213" s="108">
        <f t="shared" si="184"/>
        <v>5</v>
      </c>
      <c r="BL213" s="108">
        <f t="shared" si="185"/>
        <v>5</v>
      </c>
      <c r="BM213" s="108">
        <f t="shared" si="186"/>
        <v>5</v>
      </c>
      <c r="BN213" s="108">
        <f t="shared" si="187"/>
        <v>5</v>
      </c>
      <c r="BO213" s="108">
        <f t="shared" si="188"/>
        <v>5</v>
      </c>
      <c r="BP213" s="108">
        <f t="shared" si="189"/>
        <v>5</v>
      </c>
      <c r="BQ213" s="108">
        <f t="shared" si="190"/>
        <v>5</v>
      </c>
      <c r="BR213" s="108">
        <f t="shared" si="191"/>
        <v>5</v>
      </c>
      <c r="BS213" s="108">
        <f t="shared" si="192"/>
        <v>5</v>
      </c>
      <c r="BT213" s="108">
        <f t="shared" si="196"/>
        <v>100</v>
      </c>
    </row>
    <row r="214" spans="1:72" ht="25" customHeight="1" x14ac:dyDescent="0.3">
      <c r="A214" s="185"/>
      <c r="B214" s="116"/>
      <c r="C214" s="126"/>
      <c r="D214" s="337" t="s">
        <v>1973</v>
      </c>
      <c r="E214" s="116"/>
      <c r="F214" s="111"/>
      <c r="G214" s="111"/>
      <c r="H214" s="295"/>
      <c r="I214" s="112"/>
      <c r="J214" s="112"/>
      <c r="K214" s="295"/>
      <c r="L214" s="117"/>
      <c r="M214" s="118"/>
      <c r="N214" s="118"/>
      <c r="O214" s="118"/>
      <c r="P214" s="196"/>
      <c r="Q214" s="118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296"/>
      <c r="AC214" s="297"/>
      <c r="AD214" s="301"/>
      <c r="AE214" s="302">
        <f>SUM(AC203:AC213)</f>
        <v>9397500</v>
      </c>
      <c r="AF214" s="302">
        <f>SUM(AD203:AD213)</f>
        <v>46987.5</v>
      </c>
      <c r="AG214" s="303"/>
      <c r="AH214" s="303"/>
      <c r="AI214" s="303"/>
      <c r="AJ214" s="304">
        <f>SUM(AJ203:AJ213)*AJ$2*$AS$1</f>
        <v>0</v>
      </c>
      <c r="AK214" s="304">
        <f t="shared" ref="AK214:AR214" si="201">SUM(AK203:AK213)*AK$2*$AS$1</f>
        <v>74500</v>
      </c>
      <c r="AL214" s="304">
        <f t="shared" si="201"/>
        <v>0</v>
      </c>
      <c r="AM214" s="304">
        <f t="shared" si="201"/>
        <v>109750.00000000001</v>
      </c>
      <c r="AN214" s="304">
        <f t="shared" si="201"/>
        <v>0</v>
      </c>
      <c r="AO214" s="304">
        <f t="shared" si="201"/>
        <v>347500</v>
      </c>
      <c r="AP214" s="304">
        <f t="shared" si="201"/>
        <v>117425.00000000001</v>
      </c>
      <c r="AQ214" s="304">
        <f t="shared" si="201"/>
        <v>34800</v>
      </c>
      <c r="AR214" s="304">
        <f t="shared" si="201"/>
        <v>162225</v>
      </c>
      <c r="AS214" s="305">
        <f>SUM(AJ214:AR214)</f>
        <v>846200</v>
      </c>
      <c r="AX214" s="108">
        <f t="shared" si="173"/>
        <v>0</v>
      </c>
      <c r="AY214" s="108">
        <f t="shared" si="174"/>
        <v>0</v>
      </c>
      <c r="AZ214" s="108">
        <f t="shared" si="175"/>
        <v>0</v>
      </c>
      <c r="BA214" s="108">
        <f t="shared" si="176"/>
        <v>0</v>
      </c>
      <c r="BB214" s="108">
        <f t="shared" si="177"/>
        <v>0</v>
      </c>
      <c r="BC214" s="108">
        <f t="shared" si="178"/>
        <v>0</v>
      </c>
      <c r="BD214" s="108">
        <f t="shared" si="179"/>
        <v>0</v>
      </c>
      <c r="BE214" s="108">
        <f t="shared" si="180"/>
        <v>0</v>
      </c>
      <c r="BF214" s="108">
        <f t="shared" si="181"/>
        <v>0</v>
      </c>
      <c r="BG214" s="108">
        <f t="shared" si="182"/>
        <v>0</v>
      </c>
      <c r="BH214" s="108">
        <f t="shared" si="195"/>
        <v>0</v>
      </c>
      <c r="BJ214" s="108">
        <f t="shared" si="183"/>
        <v>0</v>
      </c>
      <c r="BK214" s="108">
        <f t="shared" si="184"/>
        <v>0</v>
      </c>
      <c r="BL214" s="108">
        <f t="shared" si="185"/>
        <v>0</v>
      </c>
      <c r="BM214" s="108">
        <f t="shared" si="186"/>
        <v>0</v>
      </c>
      <c r="BN214" s="108">
        <f t="shared" si="187"/>
        <v>0</v>
      </c>
      <c r="BO214" s="108">
        <f t="shared" si="188"/>
        <v>0</v>
      </c>
      <c r="BP214" s="108">
        <f t="shared" si="189"/>
        <v>0</v>
      </c>
      <c r="BQ214" s="108">
        <f t="shared" si="190"/>
        <v>0</v>
      </c>
      <c r="BR214" s="108">
        <f t="shared" si="191"/>
        <v>0</v>
      </c>
      <c r="BS214" s="108">
        <f t="shared" si="192"/>
        <v>0</v>
      </c>
      <c r="BT214" s="108">
        <f t="shared" si="196"/>
        <v>0</v>
      </c>
    </row>
    <row r="215" spans="1:72" ht="25" customHeight="1" x14ac:dyDescent="0.3">
      <c r="A215" s="185"/>
      <c r="B215" s="116" t="s">
        <v>1511</v>
      </c>
      <c r="C215" s="126" t="s">
        <v>1517</v>
      </c>
      <c r="D215" s="124" t="s">
        <v>1512</v>
      </c>
      <c r="E215" s="116" t="s">
        <v>1513</v>
      </c>
      <c r="F215" s="111">
        <f>7+29.0528/60</f>
        <v>7.4842133333333329</v>
      </c>
      <c r="G215" s="111">
        <f>134+35.36316/60</f>
        <v>134.58938599999999</v>
      </c>
      <c r="H215" s="295" t="s">
        <v>1514</v>
      </c>
      <c r="I215" s="112">
        <v>2016</v>
      </c>
      <c r="J215" s="112" t="s">
        <v>311</v>
      </c>
      <c r="K215" s="295" t="s">
        <v>311</v>
      </c>
      <c r="L215" s="183">
        <v>200</v>
      </c>
      <c r="M215" s="118" t="s">
        <v>308</v>
      </c>
      <c r="N215" s="118" t="s">
        <v>916</v>
      </c>
      <c r="O215" s="118" t="s">
        <v>1515</v>
      </c>
      <c r="P215" s="196" t="s">
        <v>298</v>
      </c>
      <c r="Q215" s="118" t="s">
        <v>1516</v>
      </c>
      <c r="R215" s="154">
        <v>5</v>
      </c>
      <c r="S215" s="154">
        <v>5</v>
      </c>
      <c r="T215" s="154">
        <v>5</v>
      </c>
      <c r="U215" s="154">
        <v>5</v>
      </c>
      <c r="V215" s="154">
        <v>5</v>
      </c>
      <c r="W215" s="154">
        <v>5</v>
      </c>
      <c r="X215" s="154">
        <v>1</v>
      </c>
      <c r="Y215" s="154">
        <v>3</v>
      </c>
      <c r="Z215" s="154">
        <v>1</v>
      </c>
      <c r="AA215" s="154">
        <v>5</v>
      </c>
      <c r="AB215" s="296">
        <f t="shared" si="193"/>
        <v>90</v>
      </c>
      <c r="AC215" s="297">
        <f t="shared" ref="AC215:AC227" si="202">L215*AC$2</f>
        <v>500000</v>
      </c>
      <c r="AD215" s="301">
        <f t="shared" si="194"/>
        <v>2500</v>
      </c>
      <c r="AE215" s="298"/>
      <c r="AJ215" s="108">
        <f t="shared" ref="AJ215:AJ227" si="203">IF(OR(R215=1,R215=2),$L215,0)</f>
        <v>0</v>
      </c>
      <c r="AK215" s="108">
        <f t="shared" ref="AK215:AK227" si="204">IF(OR(S215=1,S215=2),$L215,0)</f>
        <v>0</v>
      </c>
      <c r="AL215" s="108">
        <f t="shared" ref="AL215:AL227" si="205">IF(OR(T215=1,T215=2),$L215,0)</f>
        <v>0</v>
      </c>
      <c r="AM215" s="108">
        <f t="shared" ref="AM215:AM227" si="206">IF(OR(U215=1,U215=2),$L215,0)</f>
        <v>0</v>
      </c>
      <c r="AN215" s="108">
        <f t="shared" ref="AN215:AN227" si="207">IF(OR(V215=1,V215=2),$L215,0)</f>
        <v>0</v>
      </c>
      <c r="AO215" s="108">
        <f t="shared" ref="AO215:AO227" si="208">IF(OR(W215=1,W215=2),$L215,0)</f>
        <v>0</v>
      </c>
      <c r="AP215" s="108">
        <f t="shared" ref="AP215:AP227" si="209">IF(OR(X215=1,X215=2),$L215,0)</f>
        <v>200</v>
      </c>
      <c r="AQ215" s="108">
        <f t="shared" ref="AQ215:AQ227" si="210">IF(OR(Y215=1,Y215=2),$L215,0)</f>
        <v>0</v>
      </c>
      <c r="AR215" s="108">
        <f t="shared" ref="AR215:AR227" si="211">IF(OR(Z215=1,Z215=2),$L215,0)</f>
        <v>200</v>
      </c>
      <c r="AX215" s="108">
        <f t="shared" si="173"/>
        <v>5</v>
      </c>
      <c r="AY215" s="108">
        <f t="shared" si="174"/>
        <v>5</v>
      </c>
      <c r="AZ215" s="108">
        <f t="shared" si="175"/>
        <v>5</v>
      </c>
      <c r="BA215" s="108">
        <f t="shared" si="176"/>
        <v>5</v>
      </c>
      <c r="BB215" s="108">
        <f t="shared" si="177"/>
        <v>5</v>
      </c>
      <c r="BC215" s="108">
        <f t="shared" si="178"/>
        <v>5</v>
      </c>
      <c r="BD215" s="108">
        <f t="shared" si="179"/>
        <v>1</v>
      </c>
      <c r="BE215" s="108">
        <f t="shared" si="180"/>
        <v>3</v>
      </c>
      <c r="BF215" s="108">
        <f t="shared" si="181"/>
        <v>1</v>
      </c>
      <c r="BG215" s="108">
        <f t="shared" si="182"/>
        <v>5</v>
      </c>
      <c r="BH215" s="108">
        <f t="shared" si="195"/>
        <v>90</v>
      </c>
      <c r="BJ215" s="108">
        <f t="shared" si="183"/>
        <v>5</v>
      </c>
      <c r="BK215" s="108">
        <f t="shared" si="184"/>
        <v>5</v>
      </c>
      <c r="BL215" s="108">
        <f t="shared" si="185"/>
        <v>5</v>
      </c>
      <c r="BM215" s="108">
        <f t="shared" si="186"/>
        <v>5</v>
      </c>
      <c r="BN215" s="108">
        <f t="shared" si="187"/>
        <v>5</v>
      </c>
      <c r="BO215" s="108">
        <f t="shared" si="188"/>
        <v>5</v>
      </c>
      <c r="BP215" s="108">
        <f t="shared" si="189"/>
        <v>5</v>
      </c>
      <c r="BQ215" s="108">
        <f t="shared" si="190"/>
        <v>5</v>
      </c>
      <c r="BR215" s="108">
        <f t="shared" si="191"/>
        <v>5</v>
      </c>
      <c r="BS215" s="108">
        <f t="shared" si="192"/>
        <v>5</v>
      </c>
      <c r="BT215" s="108">
        <f t="shared" si="196"/>
        <v>100</v>
      </c>
    </row>
    <row r="216" spans="1:72" ht="25" customHeight="1" x14ac:dyDescent="0.3">
      <c r="A216" s="185"/>
      <c r="B216" s="116" t="s">
        <v>1519</v>
      </c>
      <c r="C216" s="126" t="s">
        <v>1518</v>
      </c>
      <c r="D216" s="124" t="s">
        <v>1512</v>
      </c>
      <c r="E216" s="116" t="s">
        <v>1513</v>
      </c>
      <c r="F216" s="111">
        <f>7+29.0337/60</f>
        <v>7.4838950000000004</v>
      </c>
      <c r="G216" s="111">
        <f>134+35.33203/60</f>
        <v>134.58886716666666</v>
      </c>
      <c r="H216" s="295" t="s">
        <v>1514</v>
      </c>
      <c r="I216" s="112">
        <v>2011</v>
      </c>
      <c r="J216" s="112">
        <v>2016</v>
      </c>
      <c r="K216" s="295" t="s">
        <v>1521</v>
      </c>
      <c r="L216" s="183">
        <v>530</v>
      </c>
      <c r="M216" s="118" t="s">
        <v>308</v>
      </c>
      <c r="N216" s="118" t="s">
        <v>916</v>
      </c>
      <c r="O216" s="118" t="s">
        <v>1515</v>
      </c>
      <c r="P216" s="196" t="s">
        <v>298</v>
      </c>
      <c r="Q216" s="118" t="s">
        <v>353</v>
      </c>
      <c r="R216" s="154">
        <v>3</v>
      </c>
      <c r="S216" s="154">
        <v>3</v>
      </c>
      <c r="T216" s="154">
        <v>5</v>
      </c>
      <c r="U216" s="154">
        <v>3</v>
      </c>
      <c r="V216" s="154">
        <v>3</v>
      </c>
      <c r="W216" s="154">
        <v>5</v>
      </c>
      <c r="X216" s="154">
        <v>3</v>
      </c>
      <c r="Y216" s="154">
        <v>4</v>
      </c>
      <c r="Z216" s="154">
        <v>5</v>
      </c>
      <c r="AA216" s="154">
        <v>4</v>
      </c>
      <c r="AB216" s="296">
        <f t="shared" si="193"/>
        <v>73</v>
      </c>
      <c r="AC216" s="297">
        <f t="shared" si="202"/>
        <v>1325000</v>
      </c>
      <c r="AD216" s="301">
        <f t="shared" si="194"/>
        <v>6625</v>
      </c>
      <c r="AE216" s="298"/>
      <c r="AJ216" s="108">
        <f t="shared" si="203"/>
        <v>0</v>
      </c>
      <c r="AK216" s="108">
        <f t="shared" si="204"/>
        <v>0</v>
      </c>
      <c r="AL216" s="108">
        <f t="shared" si="205"/>
        <v>0</v>
      </c>
      <c r="AM216" s="108">
        <f t="shared" si="206"/>
        <v>0</v>
      </c>
      <c r="AN216" s="108">
        <f t="shared" si="207"/>
        <v>0</v>
      </c>
      <c r="AO216" s="108">
        <f t="shared" si="208"/>
        <v>0</v>
      </c>
      <c r="AP216" s="108">
        <f t="shared" si="209"/>
        <v>0</v>
      </c>
      <c r="AQ216" s="108">
        <f t="shared" si="210"/>
        <v>0</v>
      </c>
      <c r="AR216" s="108">
        <f t="shared" si="211"/>
        <v>0</v>
      </c>
      <c r="AX216" s="108">
        <f t="shared" si="173"/>
        <v>3</v>
      </c>
      <c r="AY216" s="108">
        <f t="shared" si="174"/>
        <v>3</v>
      </c>
      <c r="AZ216" s="108">
        <f t="shared" si="175"/>
        <v>5</v>
      </c>
      <c r="BA216" s="108">
        <f t="shared" si="176"/>
        <v>3</v>
      </c>
      <c r="BB216" s="108">
        <f t="shared" si="177"/>
        <v>3</v>
      </c>
      <c r="BC216" s="108">
        <f t="shared" si="178"/>
        <v>5</v>
      </c>
      <c r="BD216" s="108">
        <f t="shared" si="179"/>
        <v>3</v>
      </c>
      <c r="BE216" s="108">
        <f t="shared" si="180"/>
        <v>4</v>
      </c>
      <c r="BF216" s="108">
        <f t="shared" si="181"/>
        <v>5</v>
      </c>
      <c r="BG216" s="108">
        <f t="shared" si="182"/>
        <v>4</v>
      </c>
      <c r="BH216" s="108">
        <f t="shared" si="195"/>
        <v>73</v>
      </c>
      <c r="BJ216" s="108">
        <f t="shared" si="183"/>
        <v>5</v>
      </c>
      <c r="BK216" s="108">
        <f t="shared" si="184"/>
        <v>5</v>
      </c>
      <c r="BL216" s="108">
        <f t="shared" si="185"/>
        <v>5</v>
      </c>
      <c r="BM216" s="108">
        <f t="shared" si="186"/>
        <v>5</v>
      </c>
      <c r="BN216" s="108">
        <f t="shared" si="187"/>
        <v>5</v>
      </c>
      <c r="BO216" s="108">
        <f t="shared" si="188"/>
        <v>5</v>
      </c>
      <c r="BP216" s="108">
        <f t="shared" si="189"/>
        <v>5</v>
      </c>
      <c r="BQ216" s="108">
        <f t="shared" si="190"/>
        <v>5</v>
      </c>
      <c r="BR216" s="108">
        <f t="shared" si="191"/>
        <v>5</v>
      </c>
      <c r="BS216" s="108">
        <f t="shared" si="192"/>
        <v>5</v>
      </c>
      <c r="BT216" s="108">
        <f t="shared" si="196"/>
        <v>100</v>
      </c>
    </row>
    <row r="217" spans="1:72" ht="25" customHeight="1" x14ac:dyDescent="0.3">
      <c r="A217" s="185"/>
      <c r="B217" s="116" t="s">
        <v>1520</v>
      </c>
      <c r="C217" s="126" t="s">
        <v>1525</v>
      </c>
      <c r="D217" s="124" t="s">
        <v>1512</v>
      </c>
      <c r="E217" s="116" t="s">
        <v>661</v>
      </c>
      <c r="F217" s="111">
        <f>7+27.38769/60</f>
        <v>7.4564614999999996</v>
      </c>
      <c r="G217" s="111">
        <f>134+30.32043/60</f>
        <v>134.50534049999999</v>
      </c>
      <c r="H217" s="295" t="s">
        <v>331</v>
      </c>
      <c r="I217" s="112" t="s">
        <v>421</v>
      </c>
      <c r="J217" s="112" t="s">
        <v>311</v>
      </c>
      <c r="K217" s="295" t="s">
        <v>311</v>
      </c>
      <c r="L217" s="117">
        <v>1250</v>
      </c>
      <c r="M217" s="118" t="s">
        <v>308</v>
      </c>
      <c r="N217" s="118" t="s">
        <v>298</v>
      </c>
      <c r="O217" s="118" t="s">
        <v>329</v>
      </c>
      <c r="P217" s="196" t="s">
        <v>298</v>
      </c>
      <c r="Q217" s="118" t="s">
        <v>1522</v>
      </c>
      <c r="R217" s="154">
        <v>3</v>
      </c>
      <c r="S217" s="154">
        <v>5</v>
      </c>
      <c r="T217" s="154">
        <v>5</v>
      </c>
      <c r="U217" s="154">
        <v>5</v>
      </c>
      <c r="V217" s="154">
        <v>3</v>
      </c>
      <c r="W217" s="154">
        <v>1</v>
      </c>
      <c r="X217" s="154">
        <v>2</v>
      </c>
      <c r="Y217" s="154" t="s">
        <v>92</v>
      </c>
      <c r="Z217" s="154">
        <v>2</v>
      </c>
      <c r="AA217" s="154">
        <v>4</v>
      </c>
      <c r="AB217" s="296">
        <f t="shared" si="193"/>
        <v>76.84210526315789</v>
      </c>
      <c r="AC217" s="297">
        <f t="shared" si="202"/>
        <v>3125000</v>
      </c>
      <c r="AD217" s="301">
        <f t="shared" si="194"/>
        <v>15625</v>
      </c>
      <c r="AE217" s="298"/>
      <c r="AJ217" s="108">
        <f t="shared" si="203"/>
        <v>0</v>
      </c>
      <c r="AK217" s="108">
        <f t="shared" si="204"/>
        <v>0</v>
      </c>
      <c r="AL217" s="108">
        <f t="shared" si="205"/>
        <v>0</v>
      </c>
      <c r="AM217" s="108">
        <f t="shared" si="206"/>
        <v>0</v>
      </c>
      <c r="AN217" s="108">
        <f t="shared" si="207"/>
        <v>0</v>
      </c>
      <c r="AO217" s="108">
        <f t="shared" si="208"/>
        <v>1250</v>
      </c>
      <c r="AP217" s="108">
        <f t="shared" si="209"/>
        <v>1250</v>
      </c>
      <c r="AQ217" s="108">
        <f t="shared" si="210"/>
        <v>0</v>
      </c>
      <c r="AR217" s="108">
        <f t="shared" si="211"/>
        <v>1250</v>
      </c>
      <c r="AX217" s="108">
        <f t="shared" si="173"/>
        <v>3</v>
      </c>
      <c r="AY217" s="108">
        <f t="shared" si="174"/>
        <v>5</v>
      </c>
      <c r="AZ217" s="108">
        <f t="shared" si="175"/>
        <v>5</v>
      </c>
      <c r="BA217" s="108">
        <f t="shared" si="176"/>
        <v>5</v>
      </c>
      <c r="BB217" s="108">
        <f t="shared" si="177"/>
        <v>3</v>
      </c>
      <c r="BC217" s="108">
        <f t="shared" si="178"/>
        <v>1</v>
      </c>
      <c r="BD217" s="108">
        <f t="shared" si="179"/>
        <v>2</v>
      </c>
      <c r="BE217" s="108">
        <f t="shared" si="180"/>
        <v>0</v>
      </c>
      <c r="BF217" s="108">
        <f t="shared" si="181"/>
        <v>2</v>
      </c>
      <c r="BG217" s="108">
        <f t="shared" si="182"/>
        <v>4</v>
      </c>
      <c r="BH217" s="108">
        <f t="shared" si="195"/>
        <v>73</v>
      </c>
      <c r="BJ217" s="108">
        <f t="shared" si="183"/>
        <v>5</v>
      </c>
      <c r="BK217" s="108">
        <f t="shared" si="184"/>
        <v>5</v>
      </c>
      <c r="BL217" s="108">
        <f t="shared" si="185"/>
        <v>5</v>
      </c>
      <c r="BM217" s="108">
        <f t="shared" si="186"/>
        <v>5</v>
      </c>
      <c r="BN217" s="108">
        <f t="shared" si="187"/>
        <v>5</v>
      </c>
      <c r="BO217" s="108">
        <f t="shared" si="188"/>
        <v>5</v>
      </c>
      <c r="BP217" s="108">
        <f t="shared" si="189"/>
        <v>5</v>
      </c>
      <c r="BQ217" s="108">
        <f t="shared" si="190"/>
        <v>0</v>
      </c>
      <c r="BR217" s="108">
        <f t="shared" si="191"/>
        <v>5</v>
      </c>
      <c r="BS217" s="108">
        <f t="shared" si="192"/>
        <v>5</v>
      </c>
      <c r="BT217" s="108">
        <f t="shared" si="196"/>
        <v>95</v>
      </c>
    </row>
    <row r="218" spans="1:72" ht="25" customHeight="1" x14ac:dyDescent="0.3">
      <c r="A218" s="185"/>
      <c r="B218" s="116" t="s">
        <v>1523</v>
      </c>
      <c r="C218" s="126" t="s">
        <v>1524</v>
      </c>
      <c r="D218" s="124" t="s">
        <v>1512</v>
      </c>
      <c r="E218" s="116" t="s">
        <v>661</v>
      </c>
      <c r="F218" s="111">
        <f>7+27.54993/60</f>
        <v>7.4591655000000001</v>
      </c>
      <c r="G218" s="111">
        <f>134+30.27557/60</f>
        <v>134.50459283333333</v>
      </c>
      <c r="H218" s="295" t="s">
        <v>331</v>
      </c>
      <c r="I218" s="112">
        <v>2012</v>
      </c>
      <c r="J218" s="112" t="s">
        <v>311</v>
      </c>
      <c r="K218" s="295" t="s">
        <v>311</v>
      </c>
      <c r="L218" s="117">
        <v>185</v>
      </c>
      <c r="M218" s="118" t="s">
        <v>308</v>
      </c>
      <c r="N218" s="118" t="s">
        <v>298</v>
      </c>
      <c r="O218" s="118" t="s">
        <v>329</v>
      </c>
      <c r="P218" s="196" t="s">
        <v>298</v>
      </c>
      <c r="Q218" s="118" t="s">
        <v>1522</v>
      </c>
      <c r="R218" s="154">
        <v>3</v>
      </c>
      <c r="S218" s="154">
        <v>5</v>
      </c>
      <c r="T218" s="154">
        <v>2</v>
      </c>
      <c r="U218" s="154">
        <v>1</v>
      </c>
      <c r="V218" s="154">
        <v>1</v>
      </c>
      <c r="W218" s="154">
        <v>1</v>
      </c>
      <c r="X218" s="154">
        <v>2</v>
      </c>
      <c r="Y218" s="154">
        <v>1</v>
      </c>
      <c r="Z218" s="154">
        <v>2</v>
      </c>
      <c r="AA218" s="154">
        <v>4</v>
      </c>
      <c r="AB218" s="296">
        <f t="shared" si="193"/>
        <v>62</v>
      </c>
      <c r="AC218" s="297">
        <f t="shared" si="202"/>
        <v>462500</v>
      </c>
      <c r="AD218" s="301">
        <f t="shared" si="194"/>
        <v>2312.5</v>
      </c>
      <c r="AE218" s="298"/>
      <c r="AJ218" s="108">
        <f t="shared" si="203"/>
        <v>0</v>
      </c>
      <c r="AK218" s="108">
        <f t="shared" si="204"/>
        <v>0</v>
      </c>
      <c r="AL218" s="108">
        <f t="shared" si="205"/>
        <v>185</v>
      </c>
      <c r="AM218" s="108">
        <f t="shared" si="206"/>
        <v>185</v>
      </c>
      <c r="AN218" s="108">
        <f t="shared" si="207"/>
        <v>185</v>
      </c>
      <c r="AO218" s="108">
        <f t="shared" si="208"/>
        <v>185</v>
      </c>
      <c r="AP218" s="108">
        <f t="shared" si="209"/>
        <v>185</v>
      </c>
      <c r="AQ218" s="108">
        <f t="shared" si="210"/>
        <v>185</v>
      </c>
      <c r="AR218" s="108">
        <f t="shared" si="211"/>
        <v>185</v>
      </c>
      <c r="AX218" s="108">
        <f t="shared" si="173"/>
        <v>3</v>
      </c>
      <c r="AY218" s="108">
        <f t="shared" si="174"/>
        <v>5</v>
      </c>
      <c r="AZ218" s="108">
        <f t="shared" si="175"/>
        <v>2</v>
      </c>
      <c r="BA218" s="108">
        <f t="shared" si="176"/>
        <v>1</v>
      </c>
      <c r="BB218" s="108">
        <f t="shared" si="177"/>
        <v>1</v>
      </c>
      <c r="BC218" s="108">
        <f t="shared" si="178"/>
        <v>1</v>
      </c>
      <c r="BD218" s="108">
        <f t="shared" si="179"/>
        <v>2</v>
      </c>
      <c r="BE218" s="108">
        <f t="shared" si="180"/>
        <v>1</v>
      </c>
      <c r="BF218" s="108">
        <f t="shared" si="181"/>
        <v>2</v>
      </c>
      <c r="BG218" s="108">
        <f t="shared" si="182"/>
        <v>4</v>
      </c>
      <c r="BH218" s="108">
        <f t="shared" si="195"/>
        <v>62</v>
      </c>
      <c r="BJ218" s="108">
        <f t="shared" si="183"/>
        <v>5</v>
      </c>
      <c r="BK218" s="108">
        <f t="shared" si="184"/>
        <v>5</v>
      </c>
      <c r="BL218" s="108">
        <f t="shared" si="185"/>
        <v>5</v>
      </c>
      <c r="BM218" s="108">
        <f t="shared" si="186"/>
        <v>5</v>
      </c>
      <c r="BN218" s="108">
        <f t="shared" si="187"/>
        <v>5</v>
      </c>
      <c r="BO218" s="108">
        <f t="shared" si="188"/>
        <v>5</v>
      </c>
      <c r="BP218" s="108">
        <f t="shared" si="189"/>
        <v>5</v>
      </c>
      <c r="BQ218" s="108">
        <f t="shared" si="190"/>
        <v>5</v>
      </c>
      <c r="BR218" s="108">
        <f t="shared" si="191"/>
        <v>5</v>
      </c>
      <c r="BS218" s="108">
        <f t="shared" si="192"/>
        <v>5</v>
      </c>
      <c r="BT218" s="108">
        <f t="shared" si="196"/>
        <v>100</v>
      </c>
    </row>
    <row r="219" spans="1:72" ht="25" customHeight="1" x14ac:dyDescent="0.3">
      <c r="A219" s="185"/>
      <c r="B219" s="116" t="s">
        <v>1526</v>
      </c>
      <c r="C219" s="126" t="s">
        <v>1527</v>
      </c>
      <c r="D219" s="124" t="s">
        <v>1512</v>
      </c>
      <c r="E219" s="116" t="s">
        <v>1513</v>
      </c>
      <c r="F219" s="338">
        <f>7+29.01793/60</f>
        <v>7.4836321666666663</v>
      </c>
      <c r="G219" s="338">
        <f>134+35.35126/60</f>
        <v>134.58918766666667</v>
      </c>
      <c r="H219" s="295" t="s">
        <v>1514</v>
      </c>
      <c r="I219" s="112">
        <v>2011</v>
      </c>
      <c r="J219" s="112" t="s">
        <v>311</v>
      </c>
      <c r="K219" s="295" t="s">
        <v>311</v>
      </c>
      <c r="L219" s="117">
        <v>710</v>
      </c>
      <c r="M219" s="118" t="s">
        <v>308</v>
      </c>
      <c r="N219" s="118" t="s">
        <v>916</v>
      </c>
      <c r="O219" s="118" t="s">
        <v>1515</v>
      </c>
      <c r="P219" s="196" t="s">
        <v>298</v>
      </c>
      <c r="Q219" s="118" t="s">
        <v>1516</v>
      </c>
      <c r="R219" s="154">
        <v>4</v>
      </c>
      <c r="S219" s="154">
        <v>4</v>
      </c>
      <c r="T219" s="154">
        <v>2</v>
      </c>
      <c r="U219" s="154">
        <v>1</v>
      </c>
      <c r="V219" s="154">
        <v>1</v>
      </c>
      <c r="W219" s="154">
        <v>1</v>
      </c>
      <c r="X219" s="154">
        <v>1</v>
      </c>
      <c r="Y219" s="154">
        <v>1</v>
      </c>
      <c r="Z219" s="154">
        <v>1</v>
      </c>
      <c r="AA219" s="154">
        <v>4</v>
      </c>
      <c r="AB219" s="296">
        <f t="shared" si="193"/>
        <v>57.999999999999993</v>
      </c>
      <c r="AC219" s="297">
        <f t="shared" si="202"/>
        <v>1775000</v>
      </c>
      <c r="AD219" s="301">
        <f t="shared" si="194"/>
        <v>8875</v>
      </c>
      <c r="AE219" s="298"/>
      <c r="AJ219" s="108">
        <f t="shared" si="203"/>
        <v>0</v>
      </c>
      <c r="AK219" s="108">
        <f t="shared" si="204"/>
        <v>0</v>
      </c>
      <c r="AL219" s="108">
        <f t="shared" si="205"/>
        <v>710</v>
      </c>
      <c r="AM219" s="108">
        <f t="shared" si="206"/>
        <v>710</v>
      </c>
      <c r="AN219" s="108">
        <f t="shared" si="207"/>
        <v>710</v>
      </c>
      <c r="AO219" s="108">
        <f t="shared" si="208"/>
        <v>710</v>
      </c>
      <c r="AP219" s="108">
        <f t="shared" si="209"/>
        <v>710</v>
      </c>
      <c r="AQ219" s="108">
        <f t="shared" si="210"/>
        <v>710</v>
      </c>
      <c r="AR219" s="108">
        <f t="shared" si="211"/>
        <v>710</v>
      </c>
      <c r="AX219" s="108">
        <f t="shared" si="173"/>
        <v>4</v>
      </c>
      <c r="AY219" s="108">
        <f t="shared" si="174"/>
        <v>4</v>
      </c>
      <c r="AZ219" s="108">
        <f t="shared" si="175"/>
        <v>2</v>
      </c>
      <c r="BA219" s="108">
        <f t="shared" si="176"/>
        <v>1</v>
      </c>
      <c r="BB219" s="108">
        <f t="shared" si="177"/>
        <v>1</v>
      </c>
      <c r="BC219" s="108">
        <f t="shared" si="178"/>
        <v>1</v>
      </c>
      <c r="BD219" s="108">
        <f t="shared" si="179"/>
        <v>1</v>
      </c>
      <c r="BE219" s="108">
        <f t="shared" si="180"/>
        <v>1</v>
      </c>
      <c r="BF219" s="108">
        <f t="shared" si="181"/>
        <v>1</v>
      </c>
      <c r="BG219" s="108">
        <f t="shared" si="182"/>
        <v>4</v>
      </c>
      <c r="BH219" s="108">
        <f t="shared" si="195"/>
        <v>58</v>
      </c>
      <c r="BJ219" s="108">
        <f t="shared" si="183"/>
        <v>5</v>
      </c>
      <c r="BK219" s="108">
        <f t="shared" si="184"/>
        <v>5</v>
      </c>
      <c r="BL219" s="108">
        <f t="shared" si="185"/>
        <v>5</v>
      </c>
      <c r="BM219" s="108">
        <f t="shared" si="186"/>
        <v>5</v>
      </c>
      <c r="BN219" s="108">
        <f t="shared" si="187"/>
        <v>5</v>
      </c>
      <c r="BO219" s="108">
        <f t="shared" si="188"/>
        <v>5</v>
      </c>
      <c r="BP219" s="108">
        <f t="shared" si="189"/>
        <v>5</v>
      </c>
      <c r="BQ219" s="108">
        <f t="shared" si="190"/>
        <v>5</v>
      </c>
      <c r="BR219" s="108">
        <f t="shared" si="191"/>
        <v>5</v>
      </c>
      <c r="BS219" s="108">
        <f t="shared" si="192"/>
        <v>5</v>
      </c>
      <c r="BT219" s="108">
        <f t="shared" si="196"/>
        <v>100</v>
      </c>
    </row>
    <row r="220" spans="1:72" ht="25" customHeight="1" x14ac:dyDescent="0.3">
      <c r="A220" s="185"/>
      <c r="B220" s="116" t="s">
        <v>1528</v>
      </c>
      <c r="C220" s="126" t="s">
        <v>1529</v>
      </c>
      <c r="D220" s="124" t="s">
        <v>1512</v>
      </c>
      <c r="E220" s="116" t="s">
        <v>661</v>
      </c>
      <c r="F220" s="338">
        <f>7+27.52607/60</f>
        <v>7.4587678333333329</v>
      </c>
      <c r="G220" s="338">
        <f>134+30.29938/60</f>
        <v>134.50498966666666</v>
      </c>
      <c r="H220" s="295" t="s">
        <v>331</v>
      </c>
      <c r="I220" s="112">
        <v>2000</v>
      </c>
      <c r="J220" s="112" t="s">
        <v>311</v>
      </c>
      <c r="K220" s="295" t="s">
        <v>311</v>
      </c>
      <c r="L220" s="117">
        <v>142</v>
      </c>
      <c r="M220" s="118" t="s">
        <v>308</v>
      </c>
      <c r="N220" s="118" t="s">
        <v>298</v>
      </c>
      <c r="O220" s="118" t="s">
        <v>329</v>
      </c>
      <c r="P220" s="196" t="s">
        <v>328</v>
      </c>
      <c r="Q220" s="118" t="s">
        <v>1522</v>
      </c>
      <c r="R220" s="154">
        <v>4</v>
      </c>
      <c r="S220" s="154">
        <v>4</v>
      </c>
      <c r="T220" s="154">
        <v>4</v>
      </c>
      <c r="U220" s="154">
        <v>4</v>
      </c>
      <c r="V220" s="154">
        <v>3</v>
      </c>
      <c r="W220" s="154">
        <v>3</v>
      </c>
      <c r="X220" s="154">
        <v>3</v>
      </c>
      <c r="Y220" s="154">
        <v>3</v>
      </c>
      <c r="Z220" s="154">
        <v>5</v>
      </c>
      <c r="AA220" s="154">
        <v>3</v>
      </c>
      <c r="AB220" s="296">
        <f t="shared" si="193"/>
        <v>73</v>
      </c>
      <c r="AC220" s="297">
        <f t="shared" si="202"/>
        <v>355000</v>
      </c>
      <c r="AD220" s="301">
        <f t="shared" si="194"/>
        <v>1775</v>
      </c>
      <c r="AE220" s="298"/>
      <c r="AJ220" s="108">
        <f t="shared" si="203"/>
        <v>0</v>
      </c>
      <c r="AK220" s="108">
        <f t="shared" si="204"/>
        <v>0</v>
      </c>
      <c r="AL220" s="108">
        <f t="shared" si="205"/>
        <v>0</v>
      </c>
      <c r="AM220" s="108">
        <f t="shared" si="206"/>
        <v>0</v>
      </c>
      <c r="AN220" s="108">
        <f t="shared" si="207"/>
        <v>0</v>
      </c>
      <c r="AO220" s="108">
        <f t="shared" si="208"/>
        <v>0</v>
      </c>
      <c r="AP220" s="108">
        <f t="shared" si="209"/>
        <v>0</v>
      </c>
      <c r="AQ220" s="108">
        <f t="shared" si="210"/>
        <v>0</v>
      </c>
      <c r="AR220" s="108">
        <f t="shared" si="211"/>
        <v>0</v>
      </c>
      <c r="AX220" s="108">
        <f t="shared" si="173"/>
        <v>4</v>
      </c>
      <c r="AY220" s="108">
        <f t="shared" si="174"/>
        <v>4</v>
      </c>
      <c r="AZ220" s="108">
        <f t="shared" si="175"/>
        <v>4</v>
      </c>
      <c r="BA220" s="108">
        <f t="shared" si="176"/>
        <v>4</v>
      </c>
      <c r="BB220" s="108">
        <f t="shared" si="177"/>
        <v>3</v>
      </c>
      <c r="BC220" s="108">
        <f t="shared" si="178"/>
        <v>3</v>
      </c>
      <c r="BD220" s="108">
        <f t="shared" si="179"/>
        <v>3</v>
      </c>
      <c r="BE220" s="108">
        <f t="shared" si="180"/>
        <v>3</v>
      </c>
      <c r="BF220" s="108">
        <f t="shared" si="181"/>
        <v>5</v>
      </c>
      <c r="BG220" s="108">
        <f t="shared" si="182"/>
        <v>3</v>
      </c>
      <c r="BH220" s="108">
        <f t="shared" si="195"/>
        <v>73</v>
      </c>
      <c r="BJ220" s="108">
        <f t="shared" si="183"/>
        <v>5</v>
      </c>
      <c r="BK220" s="108">
        <f t="shared" si="184"/>
        <v>5</v>
      </c>
      <c r="BL220" s="108">
        <f t="shared" si="185"/>
        <v>5</v>
      </c>
      <c r="BM220" s="108">
        <f t="shared" si="186"/>
        <v>5</v>
      </c>
      <c r="BN220" s="108">
        <f t="shared" si="187"/>
        <v>5</v>
      </c>
      <c r="BO220" s="108">
        <f t="shared" si="188"/>
        <v>5</v>
      </c>
      <c r="BP220" s="108">
        <f t="shared" si="189"/>
        <v>5</v>
      </c>
      <c r="BQ220" s="108">
        <f t="shared" si="190"/>
        <v>5</v>
      </c>
      <c r="BR220" s="108">
        <f t="shared" si="191"/>
        <v>5</v>
      </c>
      <c r="BS220" s="108">
        <f t="shared" si="192"/>
        <v>5</v>
      </c>
      <c r="BT220" s="108">
        <f t="shared" si="196"/>
        <v>100</v>
      </c>
    </row>
    <row r="221" spans="1:72" ht="25" customHeight="1" x14ac:dyDescent="0.3">
      <c r="A221" s="185"/>
      <c r="B221" s="116" t="s">
        <v>1530</v>
      </c>
      <c r="C221" s="126" t="s">
        <v>1531</v>
      </c>
      <c r="D221" s="124" t="s">
        <v>1512</v>
      </c>
      <c r="E221" s="116" t="s">
        <v>819</v>
      </c>
      <c r="F221" s="338">
        <f>7+19.645125/60</f>
        <v>7.3274187499999996</v>
      </c>
      <c r="G221" s="338">
        <f>134+27.037855/60</f>
        <v>134.45063091666665</v>
      </c>
      <c r="H221" s="295" t="s">
        <v>1510</v>
      </c>
      <c r="I221" s="112">
        <v>2011</v>
      </c>
      <c r="J221" s="112">
        <v>2019</v>
      </c>
      <c r="K221" s="295" t="s">
        <v>1532</v>
      </c>
      <c r="L221" s="117">
        <v>142</v>
      </c>
      <c r="M221" s="118" t="s">
        <v>308</v>
      </c>
      <c r="N221" s="118" t="s">
        <v>298</v>
      </c>
      <c r="O221" s="118" t="s">
        <v>329</v>
      </c>
      <c r="P221" s="196" t="s">
        <v>322</v>
      </c>
      <c r="Q221" s="118" t="s">
        <v>1522</v>
      </c>
      <c r="R221" s="154">
        <v>4</v>
      </c>
      <c r="S221" s="154">
        <v>5</v>
      </c>
      <c r="T221" s="154">
        <v>5</v>
      </c>
      <c r="U221" s="154">
        <v>5</v>
      </c>
      <c r="V221" s="154">
        <v>4</v>
      </c>
      <c r="W221" s="154">
        <v>4</v>
      </c>
      <c r="X221" s="154">
        <v>5</v>
      </c>
      <c r="Y221" s="154">
        <v>5</v>
      </c>
      <c r="Z221" s="154">
        <v>5</v>
      </c>
      <c r="AA221" s="154">
        <v>5</v>
      </c>
      <c r="AB221" s="296">
        <f t="shared" si="193"/>
        <v>95</v>
      </c>
      <c r="AC221" s="297">
        <f t="shared" si="202"/>
        <v>355000</v>
      </c>
      <c r="AD221" s="301">
        <f t="shared" si="194"/>
        <v>1775</v>
      </c>
      <c r="AE221" s="298"/>
      <c r="AJ221" s="108">
        <f t="shared" si="203"/>
        <v>0</v>
      </c>
      <c r="AK221" s="108">
        <f t="shared" si="204"/>
        <v>0</v>
      </c>
      <c r="AL221" s="108">
        <f t="shared" si="205"/>
        <v>0</v>
      </c>
      <c r="AM221" s="108">
        <f t="shared" si="206"/>
        <v>0</v>
      </c>
      <c r="AN221" s="108">
        <f t="shared" si="207"/>
        <v>0</v>
      </c>
      <c r="AO221" s="108">
        <f t="shared" si="208"/>
        <v>0</v>
      </c>
      <c r="AP221" s="108">
        <f t="shared" si="209"/>
        <v>0</v>
      </c>
      <c r="AQ221" s="108">
        <f t="shared" si="210"/>
        <v>0</v>
      </c>
      <c r="AR221" s="108">
        <f t="shared" si="211"/>
        <v>0</v>
      </c>
      <c r="AX221" s="108">
        <f t="shared" si="173"/>
        <v>4</v>
      </c>
      <c r="AY221" s="108">
        <f t="shared" si="174"/>
        <v>5</v>
      </c>
      <c r="AZ221" s="108">
        <f t="shared" si="175"/>
        <v>5</v>
      </c>
      <c r="BA221" s="108">
        <f t="shared" si="176"/>
        <v>5</v>
      </c>
      <c r="BB221" s="108">
        <f t="shared" si="177"/>
        <v>4</v>
      </c>
      <c r="BC221" s="108">
        <f t="shared" si="178"/>
        <v>4</v>
      </c>
      <c r="BD221" s="108">
        <f t="shared" si="179"/>
        <v>5</v>
      </c>
      <c r="BE221" s="108">
        <f t="shared" si="180"/>
        <v>5</v>
      </c>
      <c r="BF221" s="108">
        <f t="shared" si="181"/>
        <v>5</v>
      </c>
      <c r="BG221" s="108">
        <f t="shared" si="182"/>
        <v>5</v>
      </c>
      <c r="BH221" s="108">
        <f t="shared" si="195"/>
        <v>95</v>
      </c>
      <c r="BJ221" s="108">
        <f t="shared" si="183"/>
        <v>5</v>
      </c>
      <c r="BK221" s="108">
        <f t="shared" si="184"/>
        <v>5</v>
      </c>
      <c r="BL221" s="108">
        <f t="shared" si="185"/>
        <v>5</v>
      </c>
      <c r="BM221" s="108">
        <f t="shared" si="186"/>
        <v>5</v>
      </c>
      <c r="BN221" s="108">
        <f t="shared" si="187"/>
        <v>5</v>
      </c>
      <c r="BO221" s="108">
        <f t="shared" si="188"/>
        <v>5</v>
      </c>
      <c r="BP221" s="108">
        <f t="shared" si="189"/>
        <v>5</v>
      </c>
      <c r="BQ221" s="108">
        <f t="shared" si="190"/>
        <v>5</v>
      </c>
      <c r="BR221" s="108">
        <f t="shared" si="191"/>
        <v>5</v>
      </c>
      <c r="BS221" s="108">
        <f t="shared" si="192"/>
        <v>5</v>
      </c>
      <c r="BT221" s="108">
        <f t="shared" si="196"/>
        <v>100</v>
      </c>
    </row>
    <row r="222" spans="1:72" ht="25" customHeight="1" x14ac:dyDescent="0.3">
      <c r="A222" s="185"/>
      <c r="B222" s="116" t="s">
        <v>1533</v>
      </c>
      <c r="C222" s="126" t="s">
        <v>1534</v>
      </c>
      <c r="D222" s="124" t="s">
        <v>1512</v>
      </c>
      <c r="E222" s="116" t="s">
        <v>819</v>
      </c>
      <c r="F222" s="338">
        <f>7+19.708274/60</f>
        <v>7.3284712333333335</v>
      </c>
      <c r="G222" s="338">
        <f>134+27.021015/60</f>
        <v>134.45035025000001</v>
      </c>
      <c r="H222" s="295" t="s">
        <v>331</v>
      </c>
      <c r="I222" s="112">
        <v>2004</v>
      </c>
      <c r="J222" s="112">
        <v>2014</v>
      </c>
      <c r="K222" s="295" t="s">
        <v>1535</v>
      </c>
      <c r="L222" s="117">
        <v>202</v>
      </c>
      <c r="M222" s="118" t="s">
        <v>308</v>
      </c>
      <c r="N222" s="118" t="s">
        <v>298</v>
      </c>
      <c r="O222" s="118" t="s">
        <v>329</v>
      </c>
      <c r="P222" s="196" t="s">
        <v>298</v>
      </c>
      <c r="Q222" s="118" t="s">
        <v>1536</v>
      </c>
      <c r="R222" s="154">
        <v>4</v>
      </c>
      <c r="S222" s="154">
        <v>3</v>
      </c>
      <c r="T222" s="154">
        <v>4</v>
      </c>
      <c r="U222" s="154">
        <v>4</v>
      </c>
      <c r="V222" s="154">
        <v>3</v>
      </c>
      <c r="W222" s="154">
        <v>3</v>
      </c>
      <c r="X222" s="154">
        <v>4</v>
      </c>
      <c r="Y222" s="154">
        <v>3</v>
      </c>
      <c r="Z222" s="154">
        <v>3</v>
      </c>
      <c r="AA222" s="154">
        <v>4</v>
      </c>
      <c r="AB222" s="296">
        <f t="shared" si="193"/>
        <v>71</v>
      </c>
      <c r="AC222" s="297">
        <f t="shared" si="202"/>
        <v>505000</v>
      </c>
      <c r="AD222" s="301">
        <f t="shared" si="194"/>
        <v>2525</v>
      </c>
      <c r="AE222" s="298"/>
      <c r="AJ222" s="108">
        <f t="shared" si="203"/>
        <v>0</v>
      </c>
      <c r="AK222" s="108">
        <f t="shared" si="204"/>
        <v>0</v>
      </c>
      <c r="AL222" s="108">
        <f t="shared" si="205"/>
        <v>0</v>
      </c>
      <c r="AM222" s="108">
        <f t="shared" si="206"/>
        <v>0</v>
      </c>
      <c r="AN222" s="108">
        <f t="shared" si="207"/>
        <v>0</v>
      </c>
      <c r="AO222" s="108">
        <f t="shared" si="208"/>
        <v>0</v>
      </c>
      <c r="AP222" s="108">
        <f t="shared" si="209"/>
        <v>0</v>
      </c>
      <c r="AQ222" s="108">
        <f t="shared" si="210"/>
        <v>0</v>
      </c>
      <c r="AR222" s="108">
        <f t="shared" si="211"/>
        <v>0</v>
      </c>
      <c r="AX222" s="108">
        <f t="shared" si="173"/>
        <v>4</v>
      </c>
      <c r="AY222" s="108">
        <f t="shared" si="174"/>
        <v>3</v>
      </c>
      <c r="AZ222" s="108">
        <f t="shared" si="175"/>
        <v>4</v>
      </c>
      <c r="BA222" s="108">
        <f t="shared" si="176"/>
        <v>4</v>
      </c>
      <c r="BB222" s="108">
        <f t="shared" si="177"/>
        <v>3</v>
      </c>
      <c r="BC222" s="108">
        <f t="shared" si="178"/>
        <v>3</v>
      </c>
      <c r="BD222" s="108">
        <f t="shared" si="179"/>
        <v>4</v>
      </c>
      <c r="BE222" s="108">
        <f t="shared" si="180"/>
        <v>3</v>
      </c>
      <c r="BF222" s="108">
        <f t="shared" si="181"/>
        <v>3</v>
      </c>
      <c r="BG222" s="108">
        <f t="shared" si="182"/>
        <v>4</v>
      </c>
      <c r="BH222" s="108">
        <f t="shared" si="195"/>
        <v>71</v>
      </c>
      <c r="BJ222" s="108">
        <f t="shared" si="183"/>
        <v>5</v>
      </c>
      <c r="BK222" s="108">
        <f t="shared" si="184"/>
        <v>5</v>
      </c>
      <c r="BL222" s="108">
        <f t="shared" si="185"/>
        <v>5</v>
      </c>
      <c r="BM222" s="108">
        <f t="shared" si="186"/>
        <v>5</v>
      </c>
      <c r="BN222" s="108">
        <f t="shared" si="187"/>
        <v>5</v>
      </c>
      <c r="BO222" s="108">
        <f t="shared" si="188"/>
        <v>5</v>
      </c>
      <c r="BP222" s="108">
        <f t="shared" si="189"/>
        <v>5</v>
      </c>
      <c r="BQ222" s="108">
        <f t="shared" si="190"/>
        <v>5</v>
      </c>
      <c r="BR222" s="108">
        <f t="shared" si="191"/>
        <v>5</v>
      </c>
      <c r="BS222" s="108">
        <f t="shared" si="192"/>
        <v>5</v>
      </c>
      <c r="BT222" s="108">
        <f t="shared" si="196"/>
        <v>100</v>
      </c>
    </row>
    <row r="223" spans="1:72" ht="25" customHeight="1" x14ac:dyDescent="0.3">
      <c r="A223" s="185"/>
      <c r="B223" s="116" t="s">
        <v>1537</v>
      </c>
      <c r="C223" s="126" t="s">
        <v>1542</v>
      </c>
      <c r="D223" s="124" t="s">
        <v>1512</v>
      </c>
      <c r="E223" s="116" t="s">
        <v>819</v>
      </c>
      <c r="F223" s="338">
        <f>7+19.686148/60</f>
        <v>7.3281024666666665</v>
      </c>
      <c r="G223" s="338">
        <f>134+27.022603/60</f>
        <v>134.45037671666665</v>
      </c>
      <c r="H223" s="295" t="s">
        <v>1544</v>
      </c>
      <c r="I223" s="112">
        <v>2017</v>
      </c>
      <c r="J223" s="112" t="s">
        <v>311</v>
      </c>
      <c r="K223" s="295" t="s">
        <v>311</v>
      </c>
      <c r="L223" s="117">
        <v>615</v>
      </c>
      <c r="M223" s="118" t="s">
        <v>308</v>
      </c>
      <c r="N223" s="118" t="s">
        <v>298</v>
      </c>
      <c r="O223" s="118" t="s">
        <v>329</v>
      </c>
      <c r="P223" s="196" t="s">
        <v>322</v>
      </c>
      <c r="Q223" s="118" t="s">
        <v>334</v>
      </c>
      <c r="R223" s="154">
        <v>5</v>
      </c>
      <c r="S223" s="154">
        <v>5</v>
      </c>
      <c r="T223" s="154">
        <v>5</v>
      </c>
      <c r="U223" s="154">
        <v>5</v>
      </c>
      <c r="V223" s="154">
        <v>5</v>
      </c>
      <c r="W223" s="154">
        <v>5</v>
      </c>
      <c r="X223" s="154">
        <v>5</v>
      </c>
      <c r="Y223" s="154">
        <v>5</v>
      </c>
      <c r="Z223" s="154">
        <v>5</v>
      </c>
      <c r="AA223" s="154">
        <v>5</v>
      </c>
      <c r="AB223" s="296">
        <f t="shared" si="193"/>
        <v>100</v>
      </c>
      <c r="AC223" s="297">
        <f t="shared" si="202"/>
        <v>1537500</v>
      </c>
      <c r="AD223" s="301">
        <f t="shared" si="194"/>
        <v>7687.5</v>
      </c>
      <c r="AE223" s="298"/>
      <c r="AJ223" s="108">
        <f t="shared" si="203"/>
        <v>0</v>
      </c>
      <c r="AK223" s="108">
        <f t="shared" si="204"/>
        <v>0</v>
      </c>
      <c r="AL223" s="108">
        <f t="shared" si="205"/>
        <v>0</v>
      </c>
      <c r="AM223" s="108">
        <f t="shared" si="206"/>
        <v>0</v>
      </c>
      <c r="AN223" s="108">
        <f t="shared" si="207"/>
        <v>0</v>
      </c>
      <c r="AO223" s="108">
        <f t="shared" si="208"/>
        <v>0</v>
      </c>
      <c r="AP223" s="108">
        <f t="shared" si="209"/>
        <v>0</v>
      </c>
      <c r="AQ223" s="108">
        <f t="shared" si="210"/>
        <v>0</v>
      </c>
      <c r="AR223" s="108">
        <f t="shared" si="211"/>
        <v>0</v>
      </c>
      <c r="AX223" s="108">
        <f t="shared" si="173"/>
        <v>5</v>
      </c>
      <c r="AY223" s="108">
        <f t="shared" si="174"/>
        <v>5</v>
      </c>
      <c r="AZ223" s="108">
        <f t="shared" si="175"/>
        <v>5</v>
      </c>
      <c r="BA223" s="108">
        <f t="shared" si="176"/>
        <v>5</v>
      </c>
      <c r="BB223" s="108">
        <f t="shared" si="177"/>
        <v>5</v>
      </c>
      <c r="BC223" s="108">
        <f t="shared" si="178"/>
        <v>5</v>
      </c>
      <c r="BD223" s="108">
        <f t="shared" si="179"/>
        <v>5</v>
      </c>
      <c r="BE223" s="108">
        <f t="shared" si="180"/>
        <v>5</v>
      </c>
      <c r="BF223" s="108">
        <f t="shared" si="181"/>
        <v>5</v>
      </c>
      <c r="BG223" s="108">
        <f t="shared" si="182"/>
        <v>5</v>
      </c>
      <c r="BH223" s="108">
        <f t="shared" si="195"/>
        <v>100</v>
      </c>
      <c r="BJ223" s="108">
        <f t="shared" si="183"/>
        <v>5</v>
      </c>
      <c r="BK223" s="108">
        <f t="shared" si="184"/>
        <v>5</v>
      </c>
      <c r="BL223" s="108">
        <f t="shared" si="185"/>
        <v>5</v>
      </c>
      <c r="BM223" s="108">
        <f t="shared" si="186"/>
        <v>5</v>
      </c>
      <c r="BN223" s="108">
        <f t="shared" si="187"/>
        <v>5</v>
      </c>
      <c r="BO223" s="108">
        <f t="shared" si="188"/>
        <v>5</v>
      </c>
      <c r="BP223" s="108">
        <f t="shared" si="189"/>
        <v>5</v>
      </c>
      <c r="BQ223" s="108">
        <f t="shared" si="190"/>
        <v>5</v>
      </c>
      <c r="BR223" s="108">
        <f t="shared" si="191"/>
        <v>5</v>
      </c>
      <c r="BS223" s="108">
        <f t="shared" si="192"/>
        <v>5</v>
      </c>
      <c r="BT223" s="108">
        <f t="shared" si="196"/>
        <v>100</v>
      </c>
    </row>
    <row r="224" spans="1:72" ht="25" customHeight="1" x14ac:dyDescent="0.3">
      <c r="A224" s="185"/>
      <c r="B224" s="116" t="s">
        <v>1538</v>
      </c>
      <c r="C224" s="126" t="s">
        <v>1543</v>
      </c>
      <c r="D224" s="124" t="s">
        <v>1512</v>
      </c>
      <c r="E224" s="116" t="s">
        <v>819</v>
      </c>
      <c r="F224" s="338">
        <f>7+10.686148/60</f>
        <v>7.1781024666666671</v>
      </c>
      <c r="G224" s="338">
        <f>134+27.0728542/60</f>
        <v>134.45121423666666</v>
      </c>
      <c r="H224" s="295" t="s">
        <v>1539</v>
      </c>
      <c r="I224" s="112">
        <v>2017</v>
      </c>
      <c r="J224" s="112" t="s">
        <v>311</v>
      </c>
      <c r="K224" s="295" t="s">
        <v>311</v>
      </c>
      <c r="L224" s="117">
        <v>1960</v>
      </c>
      <c r="M224" s="118" t="s">
        <v>308</v>
      </c>
      <c r="N224" s="118" t="s">
        <v>298</v>
      </c>
      <c r="O224" s="118" t="s">
        <v>92</v>
      </c>
      <c r="P224" s="196" t="s">
        <v>298</v>
      </c>
      <c r="Q224" s="118" t="s">
        <v>1540</v>
      </c>
      <c r="R224" s="154">
        <v>5</v>
      </c>
      <c r="S224" s="154">
        <v>5</v>
      </c>
      <c r="T224" s="154" t="s">
        <v>92</v>
      </c>
      <c r="U224" s="154">
        <v>5</v>
      </c>
      <c r="V224" s="154">
        <v>5</v>
      </c>
      <c r="W224" s="154">
        <v>5</v>
      </c>
      <c r="X224" s="154">
        <v>5</v>
      </c>
      <c r="Y224" s="154" t="s">
        <v>92</v>
      </c>
      <c r="Z224" s="154">
        <v>5</v>
      </c>
      <c r="AA224" s="154">
        <v>5</v>
      </c>
      <c r="AB224" s="296">
        <f t="shared" si="193"/>
        <v>100</v>
      </c>
      <c r="AC224" s="297">
        <f t="shared" si="202"/>
        <v>4900000</v>
      </c>
      <c r="AD224" s="301">
        <f t="shared" si="194"/>
        <v>24500</v>
      </c>
      <c r="AE224" s="298"/>
      <c r="AJ224" s="108">
        <f t="shared" si="203"/>
        <v>0</v>
      </c>
      <c r="AK224" s="108">
        <f t="shared" si="204"/>
        <v>0</v>
      </c>
      <c r="AL224" s="108">
        <f t="shared" si="205"/>
        <v>0</v>
      </c>
      <c r="AM224" s="108">
        <f t="shared" si="206"/>
        <v>0</v>
      </c>
      <c r="AN224" s="108">
        <f t="shared" si="207"/>
        <v>0</v>
      </c>
      <c r="AO224" s="108">
        <f t="shared" si="208"/>
        <v>0</v>
      </c>
      <c r="AP224" s="108">
        <f t="shared" si="209"/>
        <v>0</v>
      </c>
      <c r="AQ224" s="108">
        <f t="shared" si="210"/>
        <v>0</v>
      </c>
      <c r="AR224" s="108">
        <f t="shared" si="211"/>
        <v>0</v>
      </c>
      <c r="AX224" s="108">
        <f t="shared" si="173"/>
        <v>5</v>
      </c>
      <c r="AY224" s="108">
        <f t="shared" si="174"/>
        <v>5</v>
      </c>
      <c r="AZ224" s="108">
        <f t="shared" si="175"/>
        <v>0</v>
      </c>
      <c r="BA224" s="108">
        <f t="shared" si="176"/>
        <v>5</v>
      </c>
      <c r="BB224" s="108">
        <f t="shared" si="177"/>
        <v>5</v>
      </c>
      <c r="BC224" s="108">
        <f t="shared" si="178"/>
        <v>5</v>
      </c>
      <c r="BD224" s="108">
        <f t="shared" si="179"/>
        <v>5</v>
      </c>
      <c r="BE224" s="108">
        <f t="shared" si="180"/>
        <v>0</v>
      </c>
      <c r="BF224" s="108">
        <f t="shared" si="181"/>
        <v>5</v>
      </c>
      <c r="BG224" s="108">
        <f t="shared" si="182"/>
        <v>5</v>
      </c>
      <c r="BH224" s="108">
        <f t="shared" si="195"/>
        <v>85</v>
      </c>
      <c r="BJ224" s="108">
        <f t="shared" si="183"/>
        <v>5</v>
      </c>
      <c r="BK224" s="108">
        <f t="shared" si="184"/>
        <v>5</v>
      </c>
      <c r="BL224" s="108">
        <f t="shared" si="185"/>
        <v>0</v>
      </c>
      <c r="BM224" s="108">
        <f t="shared" si="186"/>
        <v>5</v>
      </c>
      <c r="BN224" s="108">
        <f t="shared" si="187"/>
        <v>5</v>
      </c>
      <c r="BO224" s="108">
        <f t="shared" si="188"/>
        <v>5</v>
      </c>
      <c r="BP224" s="108">
        <f t="shared" si="189"/>
        <v>5</v>
      </c>
      <c r="BQ224" s="108">
        <f t="shared" si="190"/>
        <v>0</v>
      </c>
      <c r="BR224" s="108">
        <f t="shared" si="191"/>
        <v>5</v>
      </c>
      <c r="BS224" s="108">
        <f t="shared" si="192"/>
        <v>5</v>
      </c>
      <c r="BT224" s="108">
        <f t="shared" si="196"/>
        <v>85</v>
      </c>
    </row>
    <row r="225" spans="1:72" ht="25" customHeight="1" x14ac:dyDescent="0.3">
      <c r="A225" s="185"/>
      <c r="B225" s="116" t="s">
        <v>1541</v>
      </c>
      <c r="C225" s="126" t="s">
        <v>1547</v>
      </c>
      <c r="D225" s="124" t="s">
        <v>1512</v>
      </c>
      <c r="E225" s="116" t="s">
        <v>819</v>
      </c>
      <c r="F225" s="338">
        <f>7+19.716388/60</f>
        <v>7.3286064666666668</v>
      </c>
      <c r="G225" s="338">
        <f>134+27.0231209/60</f>
        <v>134.45038534833333</v>
      </c>
      <c r="H225" s="295" t="s">
        <v>1539</v>
      </c>
      <c r="I225" s="112">
        <v>2011</v>
      </c>
      <c r="J225" s="112" t="s">
        <v>311</v>
      </c>
      <c r="K225" s="295" t="s">
        <v>311</v>
      </c>
      <c r="L225" s="117">
        <v>265</v>
      </c>
      <c r="M225" s="118" t="s">
        <v>308</v>
      </c>
      <c r="N225" s="118" t="s">
        <v>298</v>
      </c>
      <c r="O225" s="118" t="s">
        <v>1545</v>
      </c>
      <c r="P225" s="196" t="s">
        <v>322</v>
      </c>
      <c r="Q225" s="118" t="s">
        <v>1536</v>
      </c>
      <c r="R225" s="154">
        <v>4</v>
      </c>
      <c r="S225" s="154">
        <v>4</v>
      </c>
      <c r="T225" s="154">
        <v>3</v>
      </c>
      <c r="U225" s="154">
        <v>3</v>
      </c>
      <c r="V225" s="154">
        <v>4</v>
      </c>
      <c r="W225" s="154">
        <v>4</v>
      </c>
      <c r="X225" s="154">
        <v>4</v>
      </c>
      <c r="Y225" s="154" t="s">
        <v>92</v>
      </c>
      <c r="Z225" s="154">
        <v>4</v>
      </c>
      <c r="AA225" s="154">
        <v>5</v>
      </c>
      <c r="AB225" s="296">
        <f t="shared" si="193"/>
        <v>81.05263157894737</v>
      </c>
      <c r="AC225" s="297">
        <f t="shared" si="202"/>
        <v>662500</v>
      </c>
      <c r="AD225" s="301">
        <f t="shared" si="194"/>
        <v>3312.5</v>
      </c>
      <c r="AE225" s="298"/>
      <c r="AJ225" s="108">
        <f t="shared" si="203"/>
        <v>0</v>
      </c>
      <c r="AK225" s="108">
        <f t="shared" si="204"/>
        <v>0</v>
      </c>
      <c r="AL225" s="108">
        <f t="shared" si="205"/>
        <v>0</v>
      </c>
      <c r="AM225" s="108">
        <f t="shared" si="206"/>
        <v>0</v>
      </c>
      <c r="AN225" s="108">
        <f t="shared" si="207"/>
        <v>0</v>
      </c>
      <c r="AO225" s="108">
        <f t="shared" si="208"/>
        <v>0</v>
      </c>
      <c r="AP225" s="108">
        <f t="shared" si="209"/>
        <v>0</v>
      </c>
      <c r="AQ225" s="108">
        <f t="shared" si="210"/>
        <v>0</v>
      </c>
      <c r="AR225" s="108">
        <f t="shared" si="211"/>
        <v>0</v>
      </c>
      <c r="AX225" s="108">
        <f t="shared" si="173"/>
        <v>4</v>
      </c>
      <c r="AY225" s="108">
        <f t="shared" si="174"/>
        <v>4</v>
      </c>
      <c r="AZ225" s="108">
        <f t="shared" si="175"/>
        <v>3</v>
      </c>
      <c r="BA225" s="108">
        <f t="shared" si="176"/>
        <v>3</v>
      </c>
      <c r="BB225" s="108">
        <f t="shared" si="177"/>
        <v>4</v>
      </c>
      <c r="BC225" s="108">
        <f t="shared" si="178"/>
        <v>4</v>
      </c>
      <c r="BD225" s="108">
        <f t="shared" si="179"/>
        <v>4</v>
      </c>
      <c r="BE225" s="108">
        <f t="shared" si="180"/>
        <v>0</v>
      </c>
      <c r="BF225" s="108">
        <f t="shared" si="181"/>
        <v>4</v>
      </c>
      <c r="BG225" s="108">
        <f t="shared" si="182"/>
        <v>5</v>
      </c>
      <c r="BH225" s="108">
        <f t="shared" si="195"/>
        <v>77</v>
      </c>
      <c r="BJ225" s="108">
        <f t="shared" si="183"/>
        <v>5</v>
      </c>
      <c r="BK225" s="108">
        <f t="shared" si="184"/>
        <v>5</v>
      </c>
      <c r="BL225" s="108">
        <f t="shared" si="185"/>
        <v>5</v>
      </c>
      <c r="BM225" s="108">
        <f t="shared" si="186"/>
        <v>5</v>
      </c>
      <c r="BN225" s="108">
        <f t="shared" si="187"/>
        <v>5</v>
      </c>
      <c r="BO225" s="108">
        <f t="shared" si="188"/>
        <v>5</v>
      </c>
      <c r="BP225" s="108">
        <f t="shared" si="189"/>
        <v>5</v>
      </c>
      <c r="BQ225" s="108">
        <f t="shared" si="190"/>
        <v>0</v>
      </c>
      <c r="BR225" s="108">
        <f t="shared" si="191"/>
        <v>5</v>
      </c>
      <c r="BS225" s="108">
        <f t="shared" si="192"/>
        <v>5</v>
      </c>
      <c r="BT225" s="108">
        <f t="shared" si="196"/>
        <v>95</v>
      </c>
    </row>
    <row r="226" spans="1:72" ht="25" customHeight="1" x14ac:dyDescent="0.3">
      <c r="A226" s="185"/>
      <c r="B226" s="116" t="s">
        <v>1546</v>
      </c>
      <c r="C226" s="126" t="s">
        <v>1548</v>
      </c>
      <c r="D226" s="124" t="s">
        <v>1512</v>
      </c>
      <c r="E226" s="116" t="s">
        <v>819</v>
      </c>
      <c r="F226" s="338">
        <f>7+19/60+43/3600</f>
        <v>7.328611111111111</v>
      </c>
      <c r="G226" s="338">
        <f>134+27/60+0/3600</f>
        <v>134.44999999999999</v>
      </c>
      <c r="H226" s="295" t="s">
        <v>1539</v>
      </c>
      <c r="I226" s="112">
        <v>2016</v>
      </c>
      <c r="J226" s="112" t="s">
        <v>311</v>
      </c>
      <c r="K226" s="295" t="s">
        <v>311</v>
      </c>
      <c r="L226" s="117">
        <v>960</v>
      </c>
      <c r="M226" s="118" t="s">
        <v>308</v>
      </c>
      <c r="N226" s="118" t="s">
        <v>298</v>
      </c>
      <c r="O226" s="118" t="s">
        <v>1545</v>
      </c>
      <c r="P226" s="196" t="s">
        <v>322</v>
      </c>
      <c r="Q226" s="118" t="s">
        <v>1558</v>
      </c>
      <c r="R226" s="154">
        <v>5</v>
      </c>
      <c r="S226" s="154">
        <v>4</v>
      </c>
      <c r="T226" s="154">
        <v>4</v>
      </c>
      <c r="U226" s="154">
        <v>4</v>
      </c>
      <c r="V226" s="154">
        <v>4</v>
      </c>
      <c r="W226" s="154">
        <v>4</v>
      </c>
      <c r="X226" s="154">
        <v>4</v>
      </c>
      <c r="Y226" s="154" t="s">
        <v>92</v>
      </c>
      <c r="Z226" s="154">
        <v>4</v>
      </c>
      <c r="AA226" s="154">
        <v>5</v>
      </c>
      <c r="AB226" s="296">
        <f t="shared" si="193"/>
        <v>87.368421052631589</v>
      </c>
      <c r="AC226" s="297">
        <f t="shared" si="202"/>
        <v>2400000</v>
      </c>
      <c r="AD226" s="301">
        <f t="shared" si="194"/>
        <v>12000</v>
      </c>
      <c r="AE226" s="298"/>
      <c r="AJ226" s="108">
        <f t="shared" si="203"/>
        <v>0</v>
      </c>
      <c r="AK226" s="108">
        <f t="shared" si="204"/>
        <v>0</v>
      </c>
      <c r="AL226" s="108">
        <f t="shared" si="205"/>
        <v>0</v>
      </c>
      <c r="AM226" s="108">
        <f t="shared" si="206"/>
        <v>0</v>
      </c>
      <c r="AN226" s="108">
        <f t="shared" si="207"/>
        <v>0</v>
      </c>
      <c r="AO226" s="108">
        <f t="shared" si="208"/>
        <v>0</v>
      </c>
      <c r="AP226" s="108">
        <f t="shared" si="209"/>
        <v>0</v>
      </c>
      <c r="AQ226" s="108">
        <f t="shared" si="210"/>
        <v>0</v>
      </c>
      <c r="AR226" s="108">
        <f t="shared" si="211"/>
        <v>0</v>
      </c>
      <c r="AX226" s="108">
        <f t="shared" si="173"/>
        <v>5</v>
      </c>
      <c r="AY226" s="108">
        <f t="shared" si="174"/>
        <v>4</v>
      </c>
      <c r="AZ226" s="108">
        <f t="shared" si="175"/>
        <v>4</v>
      </c>
      <c r="BA226" s="108">
        <f t="shared" si="176"/>
        <v>4</v>
      </c>
      <c r="BB226" s="108">
        <f t="shared" si="177"/>
        <v>4</v>
      </c>
      <c r="BC226" s="108">
        <f t="shared" si="178"/>
        <v>4</v>
      </c>
      <c r="BD226" s="108">
        <f t="shared" si="179"/>
        <v>4</v>
      </c>
      <c r="BE226" s="108">
        <f t="shared" si="180"/>
        <v>0</v>
      </c>
      <c r="BF226" s="108">
        <f t="shared" si="181"/>
        <v>4</v>
      </c>
      <c r="BG226" s="108">
        <f t="shared" si="182"/>
        <v>5</v>
      </c>
      <c r="BH226" s="108">
        <f t="shared" si="195"/>
        <v>83</v>
      </c>
      <c r="BJ226" s="108">
        <f t="shared" si="183"/>
        <v>5</v>
      </c>
      <c r="BK226" s="108">
        <f t="shared" si="184"/>
        <v>5</v>
      </c>
      <c r="BL226" s="108">
        <f t="shared" si="185"/>
        <v>5</v>
      </c>
      <c r="BM226" s="108">
        <f t="shared" si="186"/>
        <v>5</v>
      </c>
      <c r="BN226" s="108">
        <f t="shared" si="187"/>
        <v>5</v>
      </c>
      <c r="BO226" s="108">
        <f t="shared" si="188"/>
        <v>5</v>
      </c>
      <c r="BP226" s="108">
        <f t="shared" si="189"/>
        <v>5</v>
      </c>
      <c r="BQ226" s="108">
        <f t="shared" si="190"/>
        <v>0</v>
      </c>
      <c r="BR226" s="108">
        <f t="shared" si="191"/>
        <v>5</v>
      </c>
      <c r="BS226" s="108">
        <f t="shared" si="192"/>
        <v>5</v>
      </c>
      <c r="BT226" s="108">
        <f t="shared" si="196"/>
        <v>95</v>
      </c>
    </row>
    <row r="227" spans="1:72" ht="25" customHeight="1" x14ac:dyDescent="0.3">
      <c r="A227" s="185"/>
      <c r="B227" s="116" t="s">
        <v>1902</v>
      </c>
      <c r="C227" s="126" t="s">
        <v>1903</v>
      </c>
      <c r="D227" s="124" t="s">
        <v>1512</v>
      </c>
      <c r="E227" s="116" t="s">
        <v>819</v>
      </c>
      <c r="F227" s="338">
        <f>7+21.54119/60</f>
        <v>7.359019833333333</v>
      </c>
      <c r="G227" s="338">
        <f>134+33.7202/60</f>
        <v>134.56200333333334</v>
      </c>
      <c r="H227" s="295" t="s">
        <v>1539</v>
      </c>
      <c r="I227" s="112">
        <v>2010</v>
      </c>
      <c r="J227" s="112" t="s">
        <v>311</v>
      </c>
      <c r="K227" s="295" t="s">
        <v>311</v>
      </c>
      <c r="L227" s="117">
        <f>12*17</f>
        <v>204</v>
      </c>
      <c r="M227" s="118" t="s">
        <v>308</v>
      </c>
      <c r="N227" s="118" t="s">
        <v>298</v>
      </c>
      <c r="O227" s="118" t="s">
        <v>1545</v>
      </c>
      <c r="P227" s="196" t="s">
        <v>322</v>
      </c>
      <c r="Q227" s="118" t="s">
        <v>1558</v>
      </c>
      <c r="R227" s="154">
        <v>5</v>
      </c>
      <c r="S227" s="154">
        <v>5</v>
      </c>
      <c r="T227" s="154">
        <v>5</v>
      </c>
      <c r="U227" s="154">
        <v>5</v>
      </c>
      <c r="V227" s="154">
        <v>4</v>
      </c>
      <c r="W227" s="154">
        <v>5</v>
      </c>
      <c r="X227" s="154">
        <v>5</v>
      </c>
      <c r="Y227" s="154" t="s">
        <v>92</v>
      </c>
      <c r="Z227" s="154">
        <v>5</v>
      </c>
      <c r="AA227" s="154">
        <v>5</v>
      </c>
      <c r="AB227" s="296">
        <f t="shared" si="193"/>
        <v>98.94736842105263</v>
      </c>
      <c r="AC227" s="297">
        <f t="shared" si="202"/>
        <v>510000</v>
      </c>
      <c r="AD227" s="301">
        <f t="shared" si="194"/>
        <v>2550</v>
      </c>
      <c r="AE227" s="463" t="s">
        <v>1512</v>
      </c>
      <c r="AF227" s="463"/>
      <c r="AJ227" s="108">
        <f t="shared" si="203"/>
        <v>0</v>
      </c>
      <c r="AK227" s="108">
        <f t="shared" si="204"/>
        <v>0</v>
      </c>
      <c r="AL227" s="108">
        <f t="shared" si="205"/>
        <v>0</v>
      </c>
      <c r="AM227" s="108">
        <f t="shared" si="206"/>
        <v>0</v>
      </c>
      <c r="AN227" s="108">
        <f t="shared" si="207"/>
        <v>0</v>
      </c>
      <c r="AO227" s="108">
        <f t="shared" si="208"/>
        <v>0</v>
      </c>
      <c r="AP227" s="108">
        <f t="shared" si="209"/>
        <v>0</v>
      </c>
      <c r="AQ227" s="108">
        <f t="shared" si="210"/>
        <v>0</v>
      </c>
      <c r="AR227" s="108">
        <f t="shared" si="211"/>
        <v>0</v>
      </c>
      <c r="AX227" s="108">
        <f t="shared" si="173"/>
        <v>5</v>
      </c>
      <c r="AY227" s="108">
        <f t="shared" si="174"/>
        <v>5</v>
      </c>
      <c r="AZ227" s="108">
        <f t="shared" si="175"/>
        <v>5</v>
      </c>
      <c r="BA227" s="108">
        <f t="shared" si="176"/>
        <v>5</v>
      </c>
      <c r="BB227" s="108">
        <f t="shared" si="177"/>
        <v>4</v>
      </c>
      <c r="BC227" s="108">
        <f t="shared" si="178"/>
        <v>5</v>
      </c>
      <c r="BD227" s="108">
        <f t="shared" si="179"/>
        <v>5</v>
      </c>
      <c r="BE227" s="108">
        <f t="shared" si="180"/>
        <v>0</v>
      </c>
      <c r="BF227" s="108">
        <f t="shared" si="181"/>
        <v>5</v>
      </c>
      <c r="BG227" s="108">
        <f t="shared" si="182"/>
        <v>5</v>
      </c>
      <c r="BH227" s="108">
        <f t="shared" si="195"/>
        <v>94</v>
      </c>
      <c r="BJ227" s="108">
        <f t="shared" si="183"/>
        <v>5</v>
      </c>
      <c r="BK227" s="108">
        <f t="shared" si="184"/>
        <v>5</v>
      </c>
      <c r="BL227" s="108">
        <f t="shared" si="185"/>
        <v>5</v>
      </c>
      <c r="BM227" s="108">
        <f t="shared" si="186"/>
        <v>5</v>
      </c>
      <c r="BN227" s="108">
        <f t="shared" si="187"/>
        <v>5</v>
      </c>
      <c r="BO227" s="108">
        <f t="shared" si="188"/>
        <v>5</v>
      </c>
      <c r="BP227" s="108">
        <f t="shared" si="189"/>
        <v>5</v>
      </c>
      <c r="BQ227" s="108">
        <f t="shared" si="190"/>
        <v>0</v>
      </c>
      <c r="BR227" s="108">
        <f t="shared" si="191"/>
        <v>5</v>
      </c>
      <c r="BS227" s="108">
        <f t="shared" si="192"/>
        <v>5</v>
      </c>
      <c r="BT227" s="108">
        <f t="shared" si="196"/>
        <v>95</v>
      </c>
    </row>
    <row r="228" spans="1:72" ht="25" customHeight="1" x14ac:dyDescent="0.3">
      <c r="A228" s="185"/>
      <c r="B228" s="116"/>
      <c r="C228" s="126"/>
      <c r="D228" s="337" t="s">
        <v>1974</v>
      </c>
      <c r="E228" s="116"/>
      <c r="F228" s="111"/>
      <c r="G228" s="111"/>
      <c r="H228" s="295"/>
      <c r="I228" s="112"/>
      <c r="J228" s="112"/>
      <c r="K228" s="295"/>
      <c r="L228" s="117"/>
      <c r="M228" s="118"/>
      <c r="N228" s="118"/>
      <c r="O228" s="118"/>
      <c r="P228" s="117"/>
      <c r="Q228" s="117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296"/>
      <c r="AC228" s="297"/>
      <c r="AD228" s="301"/>
      <c r="AE228" s="302">
        <f>SUM(AC215:AC227)</f>
        <v>18412500</v>
      </c>
      <c r="AF228" s="302">
        <f>SUM(AD215:AD227)</f>
        <v>92062.5</v>
      </c>
      <c r="AG228" s="303"/>
      <c r="AH228" s="303"/>
      <c r="AI228" s="303"/>
      <c r="AJ228" s="304">
        <f>SUM(AJ215:AJ227)*AJ$2*$AS$1</f>
        <v>0</v>
      </c>
      <c r="AK228" s="304">
        <f t="shared" ref="AK228:AR228" si="212">SUM(AK215:AK227)*AK$2*$AS$1</f>
        <v>0</v>
      </c>
      <c r="AL228" s="304">
        <f t="shared" si="212"/>
        <v>223750</v>
      </c>
      <c r="AM228" s="304">
        <f t="shared" si="212"/>
        <v>223750</v>
      </c>
      <c r="AN228" s="304">
        <f t="shared" si="212"/>
        <v>223750</v>
      </c>
      <c r="AO228" s="304">
        <f t="shared" si="212"/>
        <v>1072500</v>
      </c>
      <c r="AP228" s="304">
        <f t="shared" si="212"/>
        <v>410375</v>
      </c>
      <c r="AQ228" s="304">
        <f t="shared" si="212"/>
        <v>134250</v>
      </c>
      <c r="AR228" s="304">
        <f t="shared" si="212"/>
        <v>410375</v>
      </c>
      <c r="AS228" s="305">
        <f>SUM(AJ228:AR228)</f>
        <v>2698750</v>
      </c>
      <c r="AX228" s="108">
        <f t="shared" si="173"/>
        <v>0</v>
      </c>
      <c r="AY228" s="108">
        <f t="shared" si="174"/>
        <v>0</v>
      </c>
      <c r="AZ228" s="108">
        <f t="shared" si="175"/>
        <v>0</v>
      </c>
      <c r="BA228" s="108">
        <f t="shared" si="176"/>
        <v>0</v>
      </c>
      <c r="BB228" s="108">
        <f t="shared" si="177"/>
        <v>0</v>
      </c>
      <c r="BC228" s="108">
        <f t="shared" si="178"/>
        <v>0</v>
      </c>
      <c r="BD228" s="108">
        <f t="shared" si="179"/>
        <v>0</v>
      </c>
      <c r="BE228" s="108">
        <f t="shared" si="180"/>
        <v>0</v>
      </c>
      <c r="BF228" s="108">
        <f t="shared" si="181"/>
        <v>0</v>
      </c>
      <c r="BG228" s="108">
        <f t="shared" si="182"/>
        <v>0</v>
      </c>
      <c r="BH228" s="108">
        <f t="shared" si="195"/>
        <v>0</v>
      </c>
      <c r="BJ228" s="108">
        <f t="shared" si="183"/>
        <v>0</v>
      </c>
      <c r="BK228" s="108">
        <f t="shared" si="184"/>
        <v>0</v>
      </c>
      <c r="BL228" s="108">
        <f t="shared" si="185"/>
        <v>0</v>
      </c>
      <c r="BM228" s="108">
        <f t="shared" si="186"/>
        <v>0</v>
      </c>
      <c r="BN228" s="108">
        <f t="shared" si="187"/>
        <v>0</v>
      </c>
      <c r="BO228" s="108">
        <f t="shared" si="188"/>
        <v>0</v>
      </c>
      <c r="BP228" s="108">
        <f t="shared" si="189"/>
        <v>0</v>
      </c>
      <c r="BQ228" s="108">
        <f t="shared" si="190"/>
        <v>0</v>
      </c>
      <c r="BR228" s="108">
        <f t="shared" si="191"/>
        <v>0</v>
      </c>
      <c r="BS228" s="108">
        <f t="shared" si="192"/>
        <v>0</v>
      </c>
      <c r="BT228" s="108">
        <f t="shared" si="196"/>
        <v>0</v>
      </c>
    </row>
    <row r="229" spans="1:72" ht="25" customHeight="1" x14ac:dyDescent="0.3">
      <c r="A229" s="185"/>
      <c r="B229" s="116" t="s">
        <v>1904</v>
      </c>
      <c r="C229" s="126" t="s">
        <v>1579</v>
      </c>
      <c r="D229" s="126" t="s">
        <v>1580</v>
      </c>
      <c r="E229" s="116" t="s">
        <v>1581</v>
      </c>
      <c r="F229" s="111">
        <f>7+30.19609/60</f>
        <v>7.5032681666666665</v>
      </c>
      <c r="G229" s="111">
        <f>134+37.27295/60</f>
        <v>134.62121583333334</v>
      </c>
      <c r="H229" s="295" t="s">
        <v>1601</v>
      </c>
      <c r="I229" s="112">
        <v>2016</v>
      </c>
      <c r="J229" s="112" t="s">
        <v>1577</v>
      </c>
      <c r="K229" s="295" t="s">
        <v>1577</v>
      </c>
      <c r="L229" s="117">
        <v>249</v>
      </c>
      <c r="M229" s="118" t="s">
        <v>308</v>
      </c>
      <c r="N229" s="196" t="s">
        <v>298</v>
      </c>
      <c r="O229" s="118" t="s">
        <v>329</v>
      </c>
      <c r="P229" s="196" t="s">
        <v>322</v>
      </c>
      <c r="Q229" s="118" t="s">
        <v>1522</v>
      </c>
      <c r="R229" s="154">
        <v>5</v>
      </c>
      <c r="S229" s="154">
        <v>5</v>
      </c>
      <c r="T229" s="154">
        <v>4</v>
      </c>
      <c r="U229" s="154">
        <v>4</v>
      </c>
      <c r="V229" s="154">
        <v>4</v>
      </c>
      <c r="W229" s="154">
        <v>5</v>
      </c>
      <c r="X229" s="154">
        <v>5</v>
      </c>
      <c r="Y229" s="154">
        <v>4</v>
      </c>
      <c r="Z229" s="154">
        <v>4</v>
      </c>
      <c r="AA229" s="154">
        <v>5</v>
      </c>
      <c r="AB229" s="296">
        <f t="shared" si="193"/>
        <v>94</v>
      </c>
      <c r="AC229" s="297">
        <f t="shared" ref="AC229:AC238" si="213">L229*AC$2</f>
        <v>622500</v>
      </c>
      <c r="AD229" s="301">
        <f t="shared" si="194"/>
        <v>3112.5</v>
      </c>
      <c r="AE229" s="298"/>
      <c r="AJ229" s="108">
        <f t="shared" ref="AJ229:AJ238" si="214">IF(OR(R229=1,R229=2),$L229,0)</f>
        <v>0</v>
      </c>
      <c r="AK229" s="108">
        <f t="shared" ref="AK229:AK238" si="215">IF(OR(S229=1,S229=2),$L229,0)</f>
        <v>0</v>
      </c>
      <c r="AL229" s="108">
        <f t="shared" ref="AL229:AL238" si="216">IF(OR(T229=1,T229=2),$L229,0)</f>
        <v>0</v>
      </c>
      <c r="AM229" s="108">
        <f t="shared" ref="AM229:AM238" si="217">IF(OR(U229=1,U229=2),$L229,0)</f>
        <v>0</v>
      </c>
      <c r="AN229" s="108">
        <f t="shared" ref="AN229:AN238" si="218">IF(OR(V229=1,V229=2),$L229,0)</f>
        <v>0</v>
      </c>
      <c r="AO229" s="108">
        <f t="shared" ref="AO229:AO238" si="219">IF(OR(W229=1,W229=2),$L229,0)</f>
        <v>0</v>
      </c>
      <c r="AP229" s="108">
        <f t="shared" ref="AP229:AP238" si="220">IF(OR(X229=1,X229=2),$L229,0)</f>
        <v>0</v>
      </c>
      <c r="AQ229" s="108">
        <f t="shared" ref="AQ229:AQ238" si="221">IF(OR(Y229=1,Y229=2),$L229,0)</f>
        <v>0</v>
      </c>
      <c r="AR229" s="108">
        <f t="shared" ref="AR229:AR238" si="222">IF(OR(Z229=1,Z229=2),$L229,0)</f>
        <v>0</v>
      </c>
      <c r="AX229" s="108">
        <f t="shared" si="173"/>
        <v>5</v>
      </c>
      <c r="AY229" s="108">
        <f t="shared" si="174"/>
        <v>5</v>
      </c>
      <c r="AZ229" s="108">
        <f t="shared" si="175"/>
        <v>4</v>
      </c>
      <c r="BA229" s="108">
        <f t="shared" si="176"/>
        <v>4</v>
      </c>
      <c r="BB229" s="108">
        <f t="shared" si="177"/>
        <v>4</v>
      </c>
      <c r="BC229" s="108">
        <f t="shared" si="178"/>
        <v>5</v>
      </c>
      <c r="BD229" s="108">
        <f t="shared" si="179"/>
        <v>5</v>
      </c>
      <c r="BE229" s="108">
        <f t="shared" si="180"/>
        <v>4</v>
      </c>
      <c r="BF229" s="108">
        <f t="shared" si="181"/>
        <v>4</v>
      </c>
      <c r="BG229" s="108">
        <f t="shared" si="182"/>
        <v>5</v>
      </c>
      <c r="BH229" s="108">
        <f t="shared" si="195"/>
        <v>94</v>
      </c>
      <c r="BJ229" s="108">
        <f t="shared" si="183"/>
        <v>5</v>
      </c>
      <c r="BK229" s="108">
        <f t="shared" si="184"/>
        <v>5</v>
      </c>
      <c r="BL229" s="108">
        <f t="shared" si="185"/>
        <v>5</v>
      </c>
      <c r="BM229" s="108">
        <f t="shared" si="186"/>
        <v>5</v>
      </c>
      <c r="BN229" s="108">
        <f t="shared" si="187"/>
        <v>5</v>
      </c>
      <c r="BO229" s="108">
        <f t="shared" si="188"/>
        <v>5</v>
      </c>
      <c r="BP229" s="108">
        <f t="shared" si="189"/>
        <v>5</v>
      </c>
      <c r="BQ229" s="108">
        <f t="shared" si="190"/>
        <v>5</v>
      </c>
      <c r="BR229" s="108">
        <f t="shared" si="191"/>
        <v>5</v>
      </c>
      <c r="BS229" s="108">
        <f t="shared" si="192"/>
        <v>5</v>
      </c>
      <c r="BT229" s="108">
        <f t="shared" si="196"/>
        <v>100</v>
      </c>
    </row>
    <row r="230" spans="1:72" ht="25" customHeight="1" x14ac:dyDescent="0.3">
      <c r="A230" s="185"/>
      <c r="B230" s="116" t="s">
        <v>1905</v>
      </c>
      <c r="C230" s="126" t="s">
        <v>1906</v>
      </c>
      <c r="D230" s="126" t="s">
        <v>1580</v>
      </c>
      <c r="E230" s="116" t="s">
        <v>788</v>
      </c>
      <c r="F230" s="111">
        <f>7+20/60+34/3600</f>
        <v>7.3427777777777772</v>
      </c>
      <c r="G230" s="111">
        <f>134+28/60+8/3600</f>
        <v>134.4688888888889</v>
      </c>
      <c r="H230" s="295" t="s">
        <v>1899</v>
      </c>
      <c r="I230" s="112" t="s">
        <v>421</v>
      </c>
      <c r="J230" s="112">
        <v>2020</v>
      </c>
      <c r="K230" s="295" t="s">
        <v>1907</v>
      </c>
      <c r="L230" s="117">
        <v>301</v>
      </c>
      <c r="M230" s="118" t="s">
        <v>308</v>
      </c>
      <c r="N230" s="196" t="s">
        <v>298</v>
      </c>
      <c r="O230" s="118" t="s">
        <v>1908</v>
      </c>
      <c r="P230" s="196" t="s">
        <v>1909</v>
      </c>
      <c r="Q230" s="118" t="s">
        <v>1522</v>
      </c>
      <c r="R230" s="154">
        <v>4</v>
      </c>
      <c r="S230" s="154">
        <v>5</v>
      </c>
      <c r="T230" s="154" t="s">
        <v>92</v>
      </c>
      <c r="U230" s="154">
        <v>5</v>
      </c>
      <c r="V230" s="154">
        <v>4</v>
      </c>
      <c r="W230" s="154">
        <v>2</v>
      </c>
      <c r="X230" s="154">
        <v>5</v>
      </c>
      <c r="Y230" s="154" t="s">
        <v>92</v>
      </c>
      <c r="Z230" s="154">
        <v>5</v>
      </c>
      <c r="AA230" s="154">
        <v>5</v>
      </c>
      <c r="AB230" s="296">
        <f t="shared" si="193"/>
        <v>91.764705882352942</v>
      </c>
      <c r="AC230" s="297">
        <f t="shared" si="213"/>
        <v>752500</v>
      </c>
      <c r="AD230" s="301">
        <f t="shared" si="194"/>
        <v>3762.5</v>
      </c>
      <c r="AE230" s="298"/>
      <c r="AJ230" s="108">
        <f t="shared" si="214"/>
        <v>0</v>
      </c>
      <c r="AK230" s="108">
        <f t="shared" si="215"/>
        <v>0</v>
      </c>
      <c r="AL230" s="108">
        <f t="shared" si="216"/>
        <v>0</v>
      </c>
      <c r="AM230" s="108">
        <f t="shared" si="217"/>
        <v>0</v>
      </c>
      <c r="AN230" s="108">
        <f t="shared" si="218"/>
        <v>0</v>
      </c>
      <c r="AO230" s="108">
        <f t="shared" si="219"/>
        <v>301</v>
      </c>
      <c r="AP230" s="108">
        <f t="shared" si="220"/>
        <v>0</v>
      </c>
      <c r="AQ230" s="108">
        <f t="shared" si="221"/>
        <v>0</v>
      </c>
      <c r="AR230" s="108">
        <f t="shared" si="222"/>
        <v>0</v>
      </c>
      <c r="AX230" s="108">
        <f t="shared" si="173"/>
        <v>4</v>
      </c>
      <c r="AY230" s="108">
        <f t="shared" si="174"/>
        <v>5</v>
      </c>
      <c r="AZ230" s="108">
        <f t="shared" si="175"/>
        <v>0</v>
      </c>
      <c r="BA230" s="108">
        <f t="shared" si="176"/>
        <v>5</v>
      </c>
      <c r="BB230" s="108">
        <f t="shared" si="177"/>
        <v>4</v>
      </c>
      <c r="BC230" s="108">
        <f t="shared" si="178"/>
        <v>2</v>
      </c>
      <c r="BD230" s="108">
        <f t="shared" si="179"/>
        <v>5</v>
      </c>
      <c r="BE230" s="108">
        <f t="shared" si="180"/>
        <v>0</v>
      </c>
      <c r="BF230" s="108">
        <f t="shared" si="181"/>
        <v>5</v>
      </c>
      <c r="BG230" s="108">
        <f t="shared" si="182"/>
        <v>5</v>
      </c>
      <c r="BH230" s="108">
        <f t="shared" si="195"/>
        <v>78</v>
      </c>
      <c r="BJ230" s="108">
        <f t="shared" si="183"/>
        <v>5</v>
      </c>
      <c r="BK230" s="108">
        <f t="shared" si="184"/>
        <v>5</v>
      </c>
      <c r="BL230" s="108">
        <f t="shared" si="185"/>
        <v>0</v>
      </c>
      <c r="BM230" s="108">
        <f t="shared" si="186"/>
        <v>5</v>
      </c>
      <c r="BN230" s="108">
        <f t="shared" si="187"/>
        <v>5</v>
      </c>
      <c r="BO230" s="108">
        <f t="shared" si="188"/>
        <v>5</v>
      </c>
      <c r="BP230" s="108">
        <f t="shared" si="189"/>
        <v>5</v>
      </c>
      <c r="BQ230" s="108">
        <f t="shared" si="190"/>
        <v>0</v>
      </c>
      <c r="BR230" s="108">
        <f t="shared" si="191"/>
        <v>5</v>
      </c>
      <c r="BS230" s="108">
        <f t="shared" si="192"/>
        <v>5</v>
      </c>
      <c r="BT230" s="108">
        <f t="shared" si="196"/>
        <v>85</v>
      </c>
    </row>
    <row r="231" spans="1:72" ht="25" customHeight="1" x14ac:dyDescent="0.3">
      <c r="A231" s="185"/>
      <c r="B231" s="116" t="s">
        <v>1910</v>
      </c>
      <c r="C231" s="126" t="s">
        <v>1911</v>
      </c>
      <c r="D231" s="126" t="s">
        <v>1580</v>
      </c>
      <c r="E231" s="116" t="s">
        <v>788</v>
      </c>
      <c r="F231" s="111">
        <f>7+20/60+34/3600</f>
        <v>7.3427777777777772</v>
      </c>
      <c r="G231" s="111">
        <f>134+28/60+7/3600</f>
        <v>134.4686111111111</v>
      </c>
      <c r="H231" s="295" t="s">
        <v>1601</v>
      </c>
      <c r="I231" s="112" t="s">
        <v>421</v>
      </c>
      <c r="J231" s="112">
        <v>2020</v>
      </c>
      <c r="K231" s="295" t="s">
        <v>1912</v>
      </c>
      <c r="L231" s="117">
        <v>296</v>
      </c>
      <c r="M231" s="118" t="s">
        <v>308</v>
      </c>
      <c r="N231" s="196" t="s">
        <v>298</v>
      </c>
      <c r="O231" s="118" t="s">
        <v>329</v>
      </c>
      <c r="P231" s="196" t="s">
        <v>322</v>
      </c>
      <c r="Q231" s="118" t="s">
        <v>1522</v>
      </c>
      <c r="R231" s="154">
        <v>4</v>
      </c>
      <c r="S231" s="154">
        <v>5</v>
      </c>
      <c r="T231" s="154">
        <v>5</v>
      </c>
      <c r="U231" s="154">
        <v>5</v>
      </c>
      <c r="V231" s="154">
        <v>5</v>
      </c>
      <c r="W231" s="154">
        <v>4</v>
      </c>
      <c r="X231" s="154">
        <v>5</v>
      </c>
      <c r="Y231" s="154">
        <v>4</v>
      </c>
      <c r="Z231" s="154">
        <v>5</v>
      </c>
      <c r="AA231" s="154">
        <v>5</v>
      </c>
      <c r="AB231" s="296">
        <f t="shared" si="193"/>
        <v>95</v>
      </c>
      <c r="AC231" s="297">
        <f t="shared" si="213"/>
        <v>740000</v>
      </c>
      <c r="AD231" s="301">
        <f t="shared" si="194"/>
        <v>3700</v>
      </c>
      <c r="AE231" s="298"/>
      <c r="AJ231" s="108">
        <f t="shared" si="214"/>
        <v>0</v>
      </c>
      <c r="AK231" s="108">
        <f t="shared" si="215"/>
        <v>0</v>
      </c>
      <c r="AL231" s="108">
        <f t="shared" si="216"/>
        <v>0</v>
      </c>
      <c r="AM231" s="108">
        <f t="shared" si="217"/>
        <v>0</v>
      </c>
      <c r="AN231" s="108">
        <f t="shared" si="218"/>
        <v>0</v>
      </c>
      <c r="AO231" s="108">
        <f t="shared" si="219"/>
        <v>0</v>
      </c>
      <c r="AP231" s="108">
        <f t="shared" si="220"/>
        <v>0</v>
      </c>
      <c r="AQ231" s="108">
        <f t="shared" si="221"/>
        <v>0</v>
      </c>
      <c r="AR231" s="108">
        <f t="shared" si="222"/>
        <v>0</v>
      </c>
      <c r="AX231" s="108">
        <f t="shared" si="173"/>
        <v>4</v>
      </c>
      <c r="AY231" s="108">
        <f t="shared" si="174"/>
        <v>5</v>
      </c>
      <c r="AZ231" s="108">
        <f t="shared" si="175"/>
        <v>5</v>
      </c>
      <c r="BA231" s="108">
        <f t="shared" si="176"/>
        <v>5</v>
      </c>
      <c r="BB231" s="108">
        <f t="shared" si="177"/>
        <v>5</v>
      </c>
      <c r="BC231" s="108">
        <f t="shared" si="178"/>
        <v>4</v>
      </c>
      <c r="BD231" s="108">
        <f t="shared" si="179"/>
        <v>5</v>
      </c>
      <c r="BE231" s="108">
        <f t="shared" si="180"/>
        <v>4</v>
      </c>
      <c r="BF231" s="108">
        <f t="shared" si="181"/>
        <v>5</v>
      </c>
      <c r="BG231" s="108">
        <f t="shared" si="182"/>
        <v>5</v>
      </c>
      <c r="BH231" s="108">
        <f t="shared" si="195"/>
        <v>95</v>
      </c>
      <c r="BJ231" s="108">
        <f t="shared" si="183"/>
        <v>5</v>
      </c>
      <c r="BK231" s="108">
        <f t="shared" si="184"/>
        <v>5</v>
      </c>
      <c r="BL231" s="108">
        <f t="shared" si="185"/>
        <v>5</v>
      </c>
      <c r="BM231" s="108">
        <f t="shared" si="186"/>
        <v>5</v>
      </c>
      <c r="BN231" s="108">
        <f t="shared" si="187"/>
        <v>5</v>
      </c>
      <c r="BO231" s="108">
        <f t="shared" si="188"/>
        <v>5</v>
      </c>
      <c r="BP231" s="108">
        <f t="shared" si="189"/>
        <v>5</v>
      </c>
      <c r="BQ231" s="108">
        <f t="shared" si="190"/>
        <v>5</v>
      </c>
      <c r="BR231" s="108">
        <f t="shared" si="191"/>
        <v>5</v>
      </c>
      <c r="BS231" s="108">
        <f t="shared" si="192"/>
        <v>5</v>
      </c>
      <c r="BT231" s="108">
        <f t="shared" si="196"/>
        <v>100</v>
      </c>
    </row>
    <row r="232" spans="1:72" ht="25" customHeight="1" x14ac:dyDescent="0.3">
      <c r="A232" s="185"/>
      <c r="B232" s="116" t="s">
        <v>1913</v>
      </c>
      <c r="C232" s="126" t="s">
        <v>1914</v>
      </c>
      <c r="D232" s="126" t="s">
        <v>1580</v>
      </c>
      <c r="E232" s="116" t="s">
        <v>788</v>
      </c>
      <c r="F232" s="111">
        <f>7+20/60+25/3600</f>
        <v>7.3402777777777777</v>
      </c>
      <c r="G232" s="111">
        <f>134+28/60+30/3600</f>
        <v>134.47499999999999</v>
      </c>
      <c r="H232" s="295" t="s">
        <v>1601</v>
      </c>
      <c r="I232" s="112" t="s">
        <v>421</v>
      </c>
      <c r="J232" s="112">
        <v>2020</v>
      </c>
      <c r="K232" s="295" t="s">
        <v>1915</v>
      </c>
      <c r="L232" s="117">
        <v>710</v>
      </c>
      <c r="M232" s="118" t="s">
        <v>308</v>
      </c>
      <c r="N232" s="196" t="s">
        <v>298</v>
      </c>
      <c r="O232" s="118" t="s">
        <v>329</v>
      </c>
      <c r="P232" s="196" t="s">
        <v>322</v>
      </c>
      <c r="Q232" s="118" t="s">
        <v>1522</v>
      </c>
      <c r="R232" s="154">
        <v>5</v>
      </c>
      <c r="S232" s="154">
        <v>5</v>
      </c>
      <c r="T232" s="154">
        <v>5</v>
      </c>
      <c r="U232" s="154">
        <v>5</v>
      </c>
      <c r="V232" s="154">
        <v>5</v>
      </c>
      <c r="W232" s="154">
        <v>4</v>
      </c>
      <c r="X232" s="154">
        <v>5</v>
      </c>
      <c r="Y232" s="154">
        <v>5</v>
      </c>
      <c r="Z232" s="154">
        <v>5</v>
      </c>
      <c r="AA232" s="154">
        <v>5</v>
      </c>
      <c r="AB232" s="296">
        <f t="shared" si="193"/>
        <v>99</v>
      </c>
      <c r="AC232" s="297">
        <f t="shared" si="213"/>
        <v>1775000</v>
      </c>
      <c r="AD232" s="301">
        <f t="shared" si="194"/>
        <v>8875</v>
      </c>
      <c r="AE232" s="298"/>
      <c r="AJ232" s="108">
        <f t="shared" si="214"/>
        <v>0</v>
      </c>
      <c r="AK232" s="108">
        <f t="shared" si="215"/>
        <v>0</v>
      </c>
      <c r="AL232" s="108">
        <f t="shared" si="216"/>
        <v>0</v>
      </c>
      <c r="AM232" s="108">
        <f t="shared" si="217"/>
        <v>0</v>
      </c>
      <c r="AN232" s="108">
        <f t="shared" si="218"/>
        <v>0</v>
      </c>
      <c r="AO232" s="108">
        <f t="shared" si="219"/>
        <v>0</v>
      </c>
      <c r="AP232" s="108">
        <f t="shared" si="220"/>
        <v>0</v>
      </c>
      <c r="AQ232" s="108">
        <f t="shared" si="221"/>
        <v>0</v>
      </c>
      <c r="AR232" s="108">
        <f t="shared" si="222"/>
        <v>0</v>
      </c>
      <c r="AX232" s="108">
        <f t="shared" si="173"/>
        <v>5</v>
      </c>
      <c r="AY232" s="108">
        <f t="shared" si="174"/>
        <v>5</v>
      </c>
      <c r="AZ232" s="108">
        <f t="shared" si="175"/>
        <v>5</v>
      </c>
      <c r="BA232" s="108">
        <f t="shared" si="176"/>
        <v>5</v>
      </c>
      <c r="BB232" s="108">
        <f t="shared" si="177"/>
        <v>5</v>
      </c>
      <c r="BC232" s="108">
        <f t="shared" si="178"/>
        <v>4</v>
      </c>
      <c r="BD232" s="108">
        <f t="shared" si="179"/>
        <v>5</v>
      </c>
      <c r="BE232" s="108">
        <f t="shared" si="180"/>
        <v>5</v>
      </c>
      <c r="BF232" s="108">
        <f t="shared" si="181"/>
        <v>5</v>
      </c>
      <c r="BG232" s="108">
        <f t="shared" si="182"/>
        <v>5</v>
      </c>
      <c r="BH232" s="108">
        <f t="shared" si="195"/>
        <v>99</v>
      </c>
      <c r="BJ232" s="108">
        <f t="shared" si="183"/>
        <v>5</v>
      </c>
      <c r="BK232" s="108">
        <f t="shared" si="184"/>
        <v>5</v>
      </c>
      <c r="BL232" s="108">
        <f t="shared" si="185"/>
        <v>5</v>
      </c>
      <c r="BM232" s="108">
        <f t="shared" si="186"/>
        <v>5</v>
      </c>
      <c r="BN232" s="108">
        <f t="shared" si="187"/>
        <v>5</v>
      </c>
      <c r="BO232" s="108">
        <f t="shared" si="188"/>
        <v>5</v>
      </c>
      <c r="BP232" s="108">
        <f t="shared" si="189"/>
        <v>5</v>
      </c>
      <c r="BQ232" s="108">
        <f t="shared" si="190"/>
        <v>5</v>
      </c>
      <c r="BR232" s="108">
        <f t="shared" si="191"/>
        <v>5</v>
      </c>
      <c r="BS232" s="108">
        <f t="shared" si="192"/>
        <v>5</v>
      </c>
      <c r="BT232" s="108">
        <f t="shared" si="196"/>
        <v>100</v>
      </c>
    </row>
    <row r="233" spans="1:72" ht="25" customHeight="1" x14ac:dyDescent="0.3">
      <c r="A233" s="185"/>
      <c r="B233" s="116" t="s">
        <v>1916</v>
      </c>
      <c r="C233" s="126" t="s">
        <v>1917</v>
      </c>
      <c r="D233" s="126" t="s">
        <v>1580</v>
      </c>
      <c r="E233" s="116" t="s">
        <v>788</v>
      </c>
      <c r="F233" s="111">
        <f>7+20/60+32/3600</f>
        <v>7.3422222222222215</v>
      </c>
      <c r="G233" s="111">
        <f>134+28/60+28/3600</f>
        <v>134.47444444444446</v>
      </c>
      <c r="H233" s="295" t="s">
        <v>1918</v>
      </c>
      <c r="I233" s="112">
        <v>2020</v>
      </c>
      <c r="J233" s="112" t="s">
        <v>1577</v>
      </c>
      <c r="K233" s="295" t="s">
        <v>1577</v>
      </c>
      <c r="L233" s="117">
        <v>150</v>
      </c>
      <c r="M233" s="118" t="s">
        <v>1919</v>
      </c>
      <c r="N233" s="196" t="s">
        <v>1920</v>
      </c>
      <c r="O233" s="118" t="s">
        <v>92</v>
      </c>
      <c r="P233" s="196" t="s">
        <v>320</v>
      </c>
      <c r="Q233" s="118" t="s">
        <v>1921</v>
      </c>
      <c r="R233" s="154">
        <v>5</v>
      </c>
      <c r="S233" s="154">
        <v>5</v>
      </c>
      <c r="T233" s="154" t="s">
        <v>92</v>
      </c>
      <c r="U233" s="154">
        <v>5</v>
      </c>
      <c r="V233" s="154">
        <v>5</v>
      </c>
      <c r="W233" s="154" t="s">
        <v>92</v>
      </c>
      <c r="X233" s="154" t="s">
        <v>92</v>
      </c>
      <c r="Y233" s="154" t="s">
        <v>92</v>
      </c>
      <c r="Z233" s="154">
        <v>5</v>
      </c>
      <c r="AA233" s="154">
        <v>5</v>
      </c>
      <c r="AB233" s="296">
        <f t="shared" si="193"/>
        <v>100</v>
      </c>
      <c r="AC233" s="297">
        <f t="shared" si="213"/>
        <v>375000</v>
      </c>
      <c r="AD233" s="301">
        <f t="shared" si="194"/>
        <v>1875</v>
      </c>
      <c r="AE233" s="298"/>
      <c r="AJ233" s="108">
        <f t="shared" si="214"/>
        <v>0</v>
      </c>
      <c r="AK233" s="108">
        <f t="shared" si="215"/>
        <v>0</v>
      </c>
      <c r="AL233" s="108">
        <f t="shared" si="216"/>
        <v>0</v>
      </c>
      <c r="AM233" s="108">
        <f t="shared" si="217"/>
        <v>0</v>
      </c>
      <c r="AN233" s="108">
        <f t="shared" si="218"/>
        <v>0</v>
      </c>
      <c r="AO233" s="108">
        <f t="shared" si="219"/>
        <v>0</v>
      </c>
      <c r="AP233" s="108">
        <f t="shared" si="220"/>
        <v>0</v>
      </c>
      <c r="AQ233" s="108">
        <f t="shared" si="221"/>
        <v>0</v>
      </c>
      <c r="AR233" s="108">
        <f t="shared" si="222"/>
        <v>0</v>
      </c>
      <c r="AX233" s="108">
        <f t="shared" si="173"/>
        <v>5</v>
      </c>
      <c r="AY233" s="108">
        <f t="shared" si="174"/>
        <v>5</v>
      </c>
      <c r="AZ233" s="108">
        <f t="shared" si="175"/>
        <v>0</v>
      </c>
      <c r="BA233" s="108">
        <f t="shared" si="176"/>
        <v>5</v>
      </c>
      <c r="BB233" s="108">
        <f t="shared" si="177"/>
        <v>5</v>
      </c>
      <c r="BC233" s="108">
        <f t="shared" si="178"/>
        <v>0</v>
      </c>
      <c r="BD233" s="108">
        <f t="shared" si="179"/>
        <v>0</v>
      </c>
      <c r="BE233" s="108">
        <f t="shared" si="180"/>
        <v>0</v>
      </c>
      <c r="BF233" s="108">
        <f t="shared" si="181"/>
        <v>5</v>
      </c>
      <c r="BG233" s="108">
        <f t="shared" si="182"/>
        <v>5</v>
      </c>
      <c r="BH233" s="108">
        <f t="shared" si="195"/>
        <v>75</v>
      </c>
      <c r="BJ233" s="108">
        <f t="shared" si="183"/>
        <v>5</v>
      </c>
      <c r="BK233" s="108">
        <f t="shared" si="184"/>
        <v>5</v>
      </c>
      <c r="BL233" s="108">
        <f t="shared" si="185"/>
        <v>0</v>
      </c>
      <c r="BM233" s="108">
        <f t="shared" si="186"/>
        <v>5</v>
      </c>
      <c r="BN233" s="108">
        <f t="shared" si="187"/>
        <v>5</v>
      </c>
      <c r="BO233" s="108">
        <f t="shared" si="188"/>
        <v>0</v>
      </c>
      <c r="BP233" s="108">
        <f t="shared" si="189"/>
        <v>0</v>
      </c>
      <c r="BQ233" s="108">
        <f t="shared" si="190"/>
        <v>0</v>
      </c>
      <c r="BR233" s="108">
        <f t="shared" si="191"/>
        <v>5</v>
      </c>
      <c r="BS233" s="108">
        <f t="shared" si="192"/>
        <v>5</v>
      </c>
      <c r="BT233" s="108">
        <f t="shared" si="196"/>
        <v>75</v>
      </c>
    </row>
    <row r="234" spans="1:72" ht="25" customHeight="1" x14ac:dyDescent="0.3">
      <c r="A234" s="185"/>
      <c r="B234" s="116" t="s">
        <v>1922</v>
      </c>
      <c r="C234" s="126" t="s">
        <v>1923</v>
      </c>
      <c r="D234" s="126" t="s">
        <v>1580</v>
      </c>
      <c r="E234" s="116" t="s">
        <v>808</v>
      </c>
      <c r="F234" s="111">
        <f>7+20/60+25/3600</f>
        <v>7.3402777777777777</v>
      </c>
      <c r="G234" s="111">
        <f>134+28/60+26/3600</f>
        <v>134.47388888888889</v>
      </c>
      <c r="H234" s="295" t="s">
        <v>1899</v>
      </c>
      <c r="I234" s="112" t="s">
        <v>380</v>
      </c>
      <c r="J234" s="112">
        <v>2020</v>
      </c>
      <c r="K234" s="295" t="s">
        <v>2689</v>
      </c>
      <c r="L234" s="117">
        <v>659</v>
      </c>
      <c r="M234" s="118" t="s">
        <v>308</v>
      </c>
      <c r="N234" s="196" t="s">
        <v>298</v>
      </c>
      <c r="O234" s="118" t="s">
        <v>92</v>
      </c>
      <c r="P234" s="196" t="s">
        <v>298</v>
      </c>
      <c r="Q234" s="118" t="s">
        <v>1516</v>
      </c>
      <c r="R234" s="154">
        <v>4</v>
      </c>
      <c r="S234" s="154">
        <v>2</v>
      </c>
      <c r="T234" s="154" t="s">
        <v>92</v>
      </c>
      <c r="U234" s="154">
        <v>2</v>
      </c>
      <c r="V234" s="154">
        <v>3</v>
      </c>
      <c r="W234" s="154" t="s">
        <v>92</v>
      </c>
      <c r="X234" s="154" t="s">
        <v>92</v>
      </c>
      <c r="Y234" s="154" t="s">
        <v>92</v>
      </c>
      <c r="Z234" s="154">
        <v>4</v>
      </c>
      <c r="AA234" s="154">
        <v>4</v>
      </c>
      <c r="AB234" s="296">
        <f t="shared" si="193"/>
        <v>62.666666666666671</v>
      </c>
      <c r="AC234" s="297">
        <f t="shared" si="213"/>
        <v>1647500</v>
      </c>
      <c r="AD234" s="301">
        <f t="shared" si="194"/>
        <v>8237.5</v>
      </c>
      <c r="AE234" s="298"/>
      <c r="AJ234" s="108">
        <f t="shared" si="214"/>
        <v>0</v>
      </c>
      <c r="AK234" s="108">
        <f t="shared" si="215"/>
        <v>659</v>
      </c>
      <c r="AL234" s="108">
        <f t="shared" si="216"/>
        <v>0</v>
      </c>
      <c r="AM234" s="108">
        <f t="shared" si="217"/>
        <v>659</v>
      </c>
      <c r="AN234" s="108">
        <f t="shared" si="218"/>
        <v>0</v>
      </c>
      <c r="AO234" s="108">
        <f t="shared" si="219"/>
        <v>0</v>
      </c>
      <c r="AP234" s="108">
        <f t="shared" si="220"/>
        <v>0</v>
      </c>
      <c r="AQ234" s="108">
        <f t="shared" si="221"/>
        <v>0</v>
      </c>
      <c r="AR234" s="108">
        <f t="shared" si="222"/>
        <v>0</v>
      </c>
      <c r="AX234" s="108">
        <f t="shared" si="173"/>
        <v>4</v>
      </c>
      <c r="AY234" s="108">
        <f t="shared" si="174"/>
        <v>2</v>
      </c>
      <c r="AZ234" s="108">
        <f t="shared" si="175"/>
        <v>0</v>
      </c>
      <c r="BA234" s="108">
        <f t="shared" si="176"/>
        <v>2</v>
      </c>
      <c r="BB234" s="108">
        <f t="shared" si="177"/>
        <v>3</v>
      </c>
      <c r="BC234" s="108">
        <f t="shared" si="178"/>
        <v>0</v>
      </c>
      <c r="BD234" s="108">
        <f t="shared" si="179"/>
        <v>0</v>
      </c>
      <c r="BE234" s="108">
        <f t="shared" si="180"/>
        <v>0</v>
      </c>
      <c r="BF234" s="108">
        <f t="shared" si="181"/>
        <v>4</v>
      </c>
      <c r="BG234" s="108">
        <f t="shared" si="182"/>
        <v>4</v>
      </c>
      <c r="BH234" s="108">
        <f t="shared" si="195"/>
        <v>47</v>
      </c>
      <c r="BJ234" s="108">
        <f t="shared" si="183"/>
        <v>5</v>
      </c>
      <c r="BK234" s="108">
        <f t="shared" si="184"/>
        <v>5</v>
      </c>
      <c r="BL234" s="108">
        <f t="shared" si="185"/>
        <v>0</v>
      </c>
      <c r="BM234" s="108">
        <f t="shared" si="186"/>
        <v>5</v>
      </c>
      <c r="BN234" s="108">
        <f t="shared" si="187"/>
        <v>5</v>
      </c>
      <c r="BO234" s="108">
        <f t="shared" si="188"/>
        <v>0</v>
      </c>
      <c r="BP234" s="108">
        <f t="shared" si="189"/>
        <v>0</v>
      </c>
      <c r="BQ234" s="108">
        <f t="shared" si="190"/>
        <v>0</v>
      </c>
      <c r="BR234" s="108">
        <f t="shared" si="191"/>
        <v>5</v>
      </c>
      <c r="BS234" s="108">
        <f t="shared" si="192"/>
        <v>5</v>
      </c>
      <c r="BT234" s="108">
        <f t="shared" si="196"/>
        <v>75</v>
      </c>
    </row>
    <row r="235" spans="1:72" ht="25" customHeight="1" x14ac:dyDescent="0.3">
      <c r="A235" s="185"/>
      <c r="B235" s="116" t="s">
        <v>1924</v>
      </c>
      <c r="C235" s="126" t="s">
        <v>1925</v>
      </c>
      <c r="D235" s="126" t="s">
        <v>1580</v>
      </c>
      <c r="E235" s="116" t="s">
        <v>788</v>
      </c>
      <c r="F235" s="111">
        <f>7+20/60+34/3600</f>
        <v>7.3427777777777772</v>
      </c>
      <c r="G235" s="111">
        <f>134+28/60+21/3600</f>
        <v>134.4725</v>
      </c>
      <c r="H235" s="295" t="s">
        <v>1926</v>
      </c>
      <c r="I235" s="112" t="s">
        <v>502</v>
      </c>
      <c r="J235" s="112" t="s">
        <v>1577</v>
      </c>
      <c r="K235" s="295" t="s">
        <v>1577</v>
      </c>
      <c r="L235" s="117">
        <v>1248</v>
      </c>
      <c r="M235" s="118" t="s">
        <v>308</v>
      </c>
      <c r="N235" s="196" t="s">
        <v>159</v>
      </c>
      <c r="O235" s="118" t="s">
        <v>92</v>
      </c>
      <c r="P235" s="196" t="s">
        <v>298</v>
      </c>
      <c r="Q235" s="118" t="s">
        <v>353</v>
      </c>
      <c r="R235" s="154">
        <v>4</v>
      </c>
      <c r="S235" s="154">
        <v>3</v>
      </c>
      <c r="T235" s="154" t="s">
        <v>92</v>
      </c>
      <c r="U235" s="154">
        <v>4</v>
      </c>
      <c r="V235" s="154">
        <v>3</v>
      </c>
      <c r="W235" s="154" t="s">
        <v>92</v>
      </c>
      <c r="X235" s="154" t="s">
        <v>92</v>
      </c>
      <c r="Y235" s="154" t="s">
        <v>92</v>
      </c>
      <c r="Z235" s="154">
        <v>4</v>
      </c>
      <c r="AA235" s="154">
        <v>4</v>
      </c>
      <c r="AB235" s="296">
        <f t="shared" si="193"/>
        <v>72</v>
      </c>
      <c r="AC235" s="297">
        <f t="shared" si="213"/>
        <v>3120000</v>
      </c>
      <c r="AD235" s="301">
        <f t="shared" si="194"/>
        <v>15600</v>
      </c>
      <c r="AE235" s="298"/>
      <c r="AJ235" s="108">
        <f t="shared" si="214"/>
        <v>0</v>
      </c>
      <c r="AK235" s="108">
        <f t="shared" si="215"/>
        <v>0</v>
      </c>
      <c r="AL235" s="108">
        <f t="shared" si="216"/>
        <v>0</v>
      </c>
      <c r="AM235" s="108">
        <f t="shared" si="217"/>
        <v>0</v>
      </c>
      <c r="AN235" s="108">
        <f t="shared" si="218"/>
        <v>0</v>
      </c>
      <c r="AO235" s="108">
        <f t="shared" si="219"/>
        <v>0</v>
      </c>
      <c r="AP235" s="108">
        <f t="shared" si="220"/>
        <v>0</v>
      </c>
      <c r="AQ235" s="108">
        <f t="shared" si="221"/>
        <v>0</v>
      </c>
      <c r="AR235" s="108">
        <f t="shared" si="222"/>
        <v>0</v>
      </c>
      <c r="AX235" s="108">
        <f t="shared" si="173"/>
        <v>4</v>
      </c>
      <c r="AY235" s="108">
        <f t="shared" si="174"/>
        <v>3</v>
      </c>
      <c r="AZ235" s="108">
        <f t="shared" si="175"/>
        <v>0</v>
      </c>
      <c r="BA235" s="108">
        <f t="shared" si="176"/>
        <v>4</v>
      </c>
      <c r="BB235" s="108">
        <f t="shared" si="177"/>
        <v>3</v>
      </c>
      <c r="BC235" s="108">
        <f t="shared" si="178"/>
        <v>0</v>
      </c>
      <c r="BD235" s="108">
        <f t="shared" si="179"/>
        <v>0</v>
      </c>
      <c r="BE235" s="108">
        <f t="shared" si="180"/>
        <v>0</v>
      </c>
      <c r="BF235" s="108">
        <f t="shared" si="181"/>
        <v>4</v>
      </c>
      <c r="BG235" s="108">
        <f t="shared" si="182"/>
        <v>4</v>
      </c>
      <c r="BH235" s="108">
        <f t="shared" si="195"/>
        <v>54</v>
      </c>
      <c r="BJ235" s="108">
        <f t="shared" si="183"/>
        <v>5</v>
      </c>
      <c r="BK235" s="108">
        <f t="shared" si="184"/>
        <v>5</v>
      </c>
      <c r="BL235" s="108">
        <f t="shared" si="185"/>
        <v>0</v>
      </c>
      <c r="BM235" s="108">
        <f t="shared" si="186"/>
        <v>5</v>
      </c>
      <c r="BN235" s="108">
        <f t="shared" si="187"/>
        <v>5</v>
      </c>
      <c r="BO235" s="108">
        <f t="shared" si="188"/>
        <v>0</v>
      </c>
      <c r="BP235" s="108">
        <f t="shared" si="189"/>
        <v>0</v>
      </c>
      <c r="BQ235" s="108">
        <f t="shared" si="190"/>
        <v>0</v>
      </c>
      <c r="BR235" s="108">
        <f t="shared" si="191"/>
        <v>5</v>
      </c>
      <c r="BS235" s="108">
        <f t="shared" si="192"/>
        <v>5</v>
      </c>
      <c r="BT235" s="108">
        <f t="shared" si="196"/>
        <v>75</v>
      </c>
    </row>
    <row r="236" spans="1:72" ht="25" customHeight="1" x14ac:dyDescent="0.3">
      <c r="A236" s="185"/>
      <c r="B236" s="116" t="s">
        <v>1927</v>
      </c>
      <c r="C236" s="126" t="s">
        <v>1928</v>
      </c>
      <c r="D236" s="126" t="s">
        <v>1580</v>
      </c>
      <c r="E236" s="116" t="s">
        <v>739</v>
      </c>
      <c r="F236" s="111">
        <f>7+21.64224/60</f>
        <v>7.3607040000000001</v>
      </c>
      <c r="G236" s="111">
        <f>134+32.84912/60</f>
        <v>134.54748533333333</v>
      </c>
      <c r="H236" s="295" t="s">
        <v>1929</v>
      </c>
      <c r="I236" s="112" t="s">
        <v>502</v>
      </c>
      <c r="J236" s="112" t="s">
        <v>1577</v>
      </c>
      <c r="K236" s="295" t="s">
        <v>1577</v>
      </c>
      <c r="L236" s="117">
        <v>152</v>
      </c>
      <c r="M236" s="118" t="s">
        <v>308</v>
      </c>
      <c r="N236" s="196" t="s">
        <v>1930</v>
      </c>
      <c r="O236" s="118" t="s">
        <v>92</v>
      </c>
      <c r="P236" s="196" t="s">
        <v>298</v>
      </c>
      <c r="Q236" s="118" t="s">
        <v>1931</v>
      </c>
      <c r="R236" s="154">
        <v>3</v>
      </c>
      <c r="S236" s="154">
        <v>3</v>
      </c>
      <c r="T236" s="154" t="s">
        <v>92</v>
      </c>
      <c r="U236" s="154">
        <v>1</v>
      </c>
      <c r="V236" s="154">
        <v>2</v>
      </c>
      <c r="W236" s="154" t="s">
        <v>92</v>
      </c>
      <c r="X236" s="154" t="s">
        <v>92</v>
      </c>
      <c r="Y236" s="154" t="s">
        <v>92</v>
      </c>
      <c r="Z236" s="154">
        <v>2</v>
      </c>
      <c r="AA236" s="154">
        <v>3</v>
      </c>
      <c r="AB236" s="296">
        <f t="shared" si="193"/>
        <v>54.666666666666664</v>
      </c>
      <c r="AC236" s="297">
        <f t="shared" si="213"/>
        <v>380000</v>
      </c>
      <c r="AD236" s="301">
        <f t="shared" si="194"/>
        <v>1900</v>
      </c>
      <c r="AE236" s="298"/>
      <c r="AJ236" s="108">
        <f t="shared" si="214"/>
        <v>0</v>
      </c>
      <c r="AK236" s="108">
        <f t="shared" si="215"/>
        <v>0</v>
      </c>
      <c r="AL236" s="108">
        <f t="shared" si="216"/>
        <v>0</v>
      </c>
      <c r="AM236" s="108">
        <f t="shared" si="217"/>
        <v>152</v>
      </c>
      <c r="AN236" s="108">
        <f t="shared" si="218"/>
        <v>152</v>
      </c>
      <c r="AO236" s="108">
        <f t="shared" si="219"/>
        <v>0</v>
      </c>
      <c r="AP236" s="108">
        <f t="shared" si="220"/>
        <v>0</v>
      </c>
      <c r="AQ236" s="108">
        <f t="shared" si="221"/>
        <v>0</v>
      </c>
      <c r="AR236" s="108">
        <f t="shared" si="222"/>
        <v>152</v>
      </c>
      <c r="AX236" s="108">
        <f t="shared" si="173"/>
        <v>3</v>
      </c>
      <c r="AY236" s="108">
        <f t="shared" si="174"/>
        <v>3</v>
      </c>
      <c r="AZ236" s="108">
        <f t="shared" si="175"/>
        <v>0</v>
      </c>
      <c r="BA236" s="108">
        <f t="shared" si="176"/>
        <v>1</v>
      </c>
      <c r="BB236" s="108">
        <f t="shared" si="177"/>
        <v>2</v>
      </c>
      <c r="BC236" s="108">
        <f t="shared" si="178"/>
        <v>0</v>
      </c>
      <c r="BD236" s="108">
        <f t="shared" si="179"/>
        <v>0</v>
      </c>
      <c r="BE236" s="108">
        <f t="shared" si="180"/>
        <v>0</v>
      </c>
      <c r="BF236" s="108">
        <f t="shared" si="181"/>
        <v>2</v>
      </c>
      <c r="BG236" s="108">
        <f t="shared" si="182"/>
        <v>3</v>
      </c>
      <c r="BH236" s="108">
        <f t="shared" si="195"/>
        <v>41</v>
      </c>
      <c r="BJ236" s="108">
        <f t="shared" si="183"/>
        <v>5</v>
      </c>
      <c r="BK236" s="108">
        <f t="shared" si="184"/>
        <v>5</v>
      </c>
      <c r="BL236" s="108">
        <f t="shared" si="185"/>
        <v>0</v>
      </c>
      <c r="BM236" s="108">
        <f t="shared" si="186"/>
        <v>5</v>
      </c>
      <c r="BN236" s="108">
        <f t="shared" si="187"/>
        <v>5</v>
      </c>
      <c r="BO236" s="108">
        <f t="shared" si="188"/>
        <v>0</v>
      </c>
      <c r="BP236" s="108">
        <f t="shared" si="189"/>
        <v>0</v>
      </c>
      <c r="BQ236" s="108">
        <f t="shared" si="190"/>
        <v>0</v>
      </c>
      <c r="BR236" s="108">
        <f t="shared" si="191"/>
        <v>5</v>
      </c>
      <c r="BS236" s="108">
        <f t="shared" si="192"/>
        <v>5</v>
      </c>
      <c r="BT236" s="108">
        <f t="shared" si="196"/>
        <v>75</v>
      </c>
    </row>
    <row r="237" spans="1:72" ht="25" customHeight="1" x14ac:dyDescent="0.3">
      <c r="A237" s="185"/>
      <c r="B237" s="116" t="s">
        <v>1932</v>
      </c>
      <c r="C237" s="126" t="s">
        <v>1933</v>
      </c>
      <c r="D237" s="126" t="s">
        <v>1580</v>
      </c>
      <c r="E237" s="116" t="s">
        <v>808</v>
      </c>
      <c r="F237" s="111">
        <f>7+20.19588/60</f>
        <v>7.3365980000000004</v>
      </c>
      <c r="G237" s="111">
        <f>134+28.58098/60</f>
        <v>134.47634966666666</v>
      </c>
      <c r="H237" s="295" t="s">
        <v>1613</v>
      </c>
      <c r="I237" s="112">
        <v>2003</v>
      </c>
      <c r="J237" s="112" t="s">
        <v>1577</v>
      </c>
      <c r="K237" s="295" t="s">
        <v>1577</v>
      </c>
      <c r="L237" s="117">
        <v>1394</v>
      </c>
      <c r="M237" s="118" t="s">
        <v>308</v>
      </c>
      <c r="N237" s="196" t="s">
        <v>298</v>
      </c>
      <c r="O237" s="118" t="s">
        <v>329</v>
      </c>
      <c r="P237" s="196" t="s">
        <v>322</v>
      </c>
      <c r="Q237" s="118" t="s">
        <v>334</v>
      </c>
      <c r="R237" s="154">
        <v>5</v>
      </c>
      <c r="S237" s="154">
        <v>5</v>
      </c>
      <c r="T237" s="154">
        <v>5</v>
      </c>
      <c r="U237" s="154">
        <v>2</v>
      </c>
      <c r="V237" s="154">
        <v>4</v>
      </c>
      <c r="W237" s="154">
        <v>5</v>
      </c>
      <c r="X237" s="154">
        <v>5</v>
      </c>
      <c r="Y237" s="154">
        <v>5</v>
      </c>
      <c r="Z237" s="154">
        <v>5</v>
      </c>
      <c r="AA237" s="154">
        <v>5</v>
      </c>
      <c r="AB237" s="296">
        <f t="shared" si="193"/>
        <v>96</v>
      </c>
      <c r="AC237" s="297">
        <f t="shared" si="213"/>
        <v>3485000</v>
      </c>
      <c r="AD237" s="301">
        <f t="shared" si="194"/>
        <v>17425</v>
      </c>
      <c r="AE237" s="298"/>
      <c r="AJ237" s="108">
        <f t="shared" si="214"/>
        <v>0</v>
      </c>
      <c r="AK237" s="108">
        <f t="shared" si="215"/>
        <v>0</v>
      </c>
      <c r="AL237" s="108">
        <f t="shared" si="216"/>
        <v>0</v>
      </c>
      <c r="AM237" s="108">
        <f t="shared" si="217"/>
        <v>1394</v>
      </c>
      <c r="AN237" s="108">
        <f t="shared" si="218"/>
        <v>0</v>
      </c>
      <c r="AO237" s="108">
        <f t="shared" si="219"/>
        <v>0</v>
      </c>
      <c r="AP237" s="108">
        <f t="shared" si="220"/>
        <v>0</v>
      </c>
      <c r="AQ237" s="108">
        <f t="shared" si="221"/>
        <v>0</v>
      </c>
      <c r="AR237" s="108">
        <f t="shared" si="222"/>
        <v>0</v>
      </c>
      <c r="AX237" s="108">
        <f t="shared" si="173"/>
        <v>5</v>
      </c>
      <c r="AY237" s="108">
        <f t="shared" si="174"/>
        <v>5</v>
      </c>
      <c r="AZ237" s="108">
        <f t="shared" si="175"/>
        <v>5</v>
      </c>
      <c r="BA237" s="108">
        <f t="shared" si="176"/>
        <v>2</v>
      </c>
      <c r="BB237" s="108">
        <f t="shared" si="177"/>
        <v>4</v>
      </c>
      <c r="BC237" s="108">
        <f t="shared" si="178"/>
        <v>5</v>
      </c>
      <c r="BD237" s="108">
        <f t="shared" si="179"/>
        <v>5</v>
      </c>
      <c r="BE237" s="108">
        <f t="shared" si="180"/>
        <v>5</v>
      </c>
      <c r="BF237" s="108">
        <f t="shared" si="181"/>
        <v>5</v>
      </c>
      <c r="BG237" s="108">
        <f t="shared" si="182"/>
        <v>5</v>
      </c>
      <c r="BH237" s="108">
        <f t="shared" si="195"/>
        <v>96</v>
      </c>
      <c r="BJ237" s="108">
        <f t="shared" si="183"/>
        <v>5</v>
      </c>
      <c r="BK237" s="108">
        <f t="shared" si="184"/>
        <v>5</v>
      </c>
      <c r="BL237" s="108">
        <f t="shared" si="185"/>
        <v>5</v>
      </c>
      <c r="BM237" s="108">
        <f t="shared" si="186"/>
        <v>5</v>
      </c>
      <c r="BN237" s="108">
        <f t="shared" si="187"/>
        <v>5</v>
      </c>
      <c r="BO237" s="108">
        <f t="shared" si="188"/>
        <v>5</v>
      </c>
      <c r="BP237" s="108">
        <f t="shared" si="189"/>
        <v>5</v>
      </c>
      <c r="BQ237" s="108">
        <f t="shared" si="190"/>
        <v>5</v>
      </c>
      <c r="BR237" s="108">
        <f t="shared" si="191"/>
        <v>5</v>
      </c>
      <c r="BS237" s="108">
        <f t="shared" si="192"/>
        <v>5</v>
      </c>
      <c r="BT237" s="108">
        <f t="shared" si="196"/>
        <v>100</v>
      </c>
    </row>
    <row r="238" spans="1:72" ht="25" customHeight="1" x14ac:dyDescent="0.3">
      <c r="A238" s="185"/>
      <c r="B238" s="116" t="s">
        <v>1934</v>
      </c>
      <c r="C238" s="126" t="s">
        <v>1935</v>
      </c>
      <c r="D238" s="126" t="s">
        <v>1580</v>
      </c>
      <c r="E238" s="116" t="s">
        <v>808</v>
      </c>
      <c r="F238" s="111">
        <f>7+20.20783/60</f>
        <v>7.3367971666666669</v>
      </c>
      <c r="G238" s="111">
        <f>134+28.59924/60</f>
        <v>134.476654</v>
      </c>
      <c r="H238" s="295" t="s">
        <v>1613</v>
      </c>
      <c r="I238" s="112" t="s">
        <v>1361</v>
      </c>
      <c r="J238" s="112" t="s">
        <v>1577</v>
      </c>
      <c r="K238" s="295" t="s">
        <v>1577</v>
      </c>
      <c r="L238" s="117">
        <v>445</v>
      </c>
      <c r="M238" s="118" t="s">
        <v>308</v>
      </c>
      <c r="N238" s="196" t="s">
        <v>298</v>
      </c>
      <c r="O238" s="118" t="s">
        <v>329</v>
      </c>
      <c r="P238" s="196" t="s">
        <v>322</v>
      </c>
      <c r="Q238" s="118" t="s">
        <v>334</v>
      </c>
      <c r="R238" s="154">
        <v>3</v>
      </c>
      <c r="S238" s="154">
        <v>3</v>
      </c>
      <c r="T238" s="154">
        <v>3</v>
      </c>
      <c r="U238" s="154">
        <v>3</v>
      </c>
      <c r="V238" s="154">
        <v>3</v>
      </c>
      <c r="W238" s="154">
        <v>3</v>
      </c>
      <c r="X238" s="154">
        <v>3</v>
      </c>
      <c r="Y238" s="154">
        <v>3</v>
      </c>
      <c r="Z238" s="154">
        <v>3</v>
      </c>
      <c r="AA238" s="154">
        <v>4</v>
      </c>
      <c r="AB238" s="296">
        <f t="shared" si="193"/>
        <v>64</v>
      </c>
      <c r="AC238" s="297">
        <f t="shared" si="213"/>
        <v>1112500</v>
      </c>
      <c r="AD238" s="301">
        <f t="shared" si="194"/>
        <v>5562.5</v>
      </c>
      <c r="AE238" s="463" t="s">
        <v>1580</v>
      </c>
      <c r="AF238" s="463"/>
      <c r="AJ238" s="108">
        <f t="shared" si="214"/>
        <v>0</v>
      </c>
      <c r="AK238" s="108">
        <f t="shared" si="215"/>
        <v>0</v>
      </c>
      <c r="AL238" s="108">
        <f t="shared" si="216"/>
        <v>0</v>
      </c>
      <c r="AM238" s="108">
        <f t="shared" si="217"/>
        <v>0</v>
      </c>
      <c r="AN238" s="108">
        <f t="shared" si="218"/>
        <v>0</v>
      </c>
      <c r="AO238" s="108">
        <f t="shared" si="219"/>
        <v>0</v>
      </c>
      <c r="AP238" s="108">
        <f t="shared" si="220"/>
        <v>0</v>
      </c>
      <c r="AQ238" s="108">
        <f t="shared" si="221"/>
        <v>0</v>
      </c>
      <c r="AR238" s="108">
        <f t="shared" si="222"/>
        <v>0</v>
      </c>
      <c r="AX238" s="108">
        <f t="shared" si="173"/>
        <v>3</v>
      </c>
      <c r="AY238" s="108">
        <f t="shared" si="174"/>
        <v>3</v>
      </c>
      <c r="AZ238" s="108">
        <f t="shared" si="175"/>
        <v>3</v>
      </c>
      <c r="BA238" s="108">
        <f t="shared" si="176"/>
        <v>3</v>
      </c>
      <c r="BB238" s="108">
        <f t="shared" si="177"/>
        <v>3</v>
      </c>
      <c r="BC238" s="108">
        <f t="shared" si="178"/>
        <v>3</v>
      </c>
      <c r="BD238" s="108">
        <f t="shared" si="179"/>
        <v>3</v>
      </c>
      <c r="BE238" s="108">
        <f t="shared" si="180"/>
        <v>3</v>
      </c>
      <c r="BF238" s="108">
        <f t="shared" si="181"/>
        <v>3</v>
      </c>
      <c r="BG238" s="108">
        <f t="shared" si="182"/>
        <v>4</v>
      </c>
      <c r="BH238" s="108">
        <f t="shared" si="195"/>
        <v>64</v>
      </c>
      <c r="BJ238" s="108">
        <f t="shared" si="183"/>
        <v>5</v>
      </c>
      <c r="BK238" s="108">
        <f t="shared" si="184"/>
        <v>5</v>
      </c>
      <c r="BL238" s="108">
        <f t="shared" si="185"/>
        <v>5</v>
      </c>
      <c r="BM238" s="108">
        <f t="shared" si="186"/>
        <v>5</v>
      </c>
      <c r="BN238" s="108">
        <f t="shared" si="187"/>
        <v>5</v>
      </c>
      <c r="BO238" s="108">
        <f t="shared" si="188"/>
        <v>5</v>
      </c>
      <c r="BP238" s="108">
        <f t="shared" si="189"/>
        <v>5</v>
      </c>
      <c r="BQ238" s="108">
        <f t="shared" si="190"/>
        <v>5</v>
      </c>
      <c r="BR238" s="108">
        <f t="shared" si="191"/>
        <v>5</v>
      </c>
      <c r="BS238" s="108">
        <f t="shared" si="192"/>
        <v>5</v>
      </c>
      <c r="BT238" s="108">
        <f t="shared" si="196"/>
        <v>100</v>
      </c>
    </row>
    <row r="239" spans="1:72" ht="25" customHeight="1" x14ac:dyDescent="0.3">
      <c r="A239" s="185"/>
      <c r="B239" s="116"/>
      <c r="C239" s="126"/>
      <c r="D239" s="124"/>
      <c r="E239" s="116"/>
      <c r="F239" s="111"/>
      <c r="G239" s="111"/>
      <c r="H239" s="295"/>
      <c r="I239" s="112"/>
      <c r="J239" s="112"/>
      <c r="K239" s="295"/>
      <c r="L239" s="117"/>
      <c r="M239" s="118"/>
      <c r="N239" s="118"/>
      <c r="O239" s="118"/>
      <c r="P239" s="117"/>
      <c r="Q239" s="117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296"/>
      <c r="AC239" s="297"/>
      <c r="AD239" s="301"/>
      <c r="AE239" s="302">
        <f>SUM(AC229:AC238)</f>
        <v>14010000</v>
      </c>
      <c r="AF239" s="302">
        <f>SUM(AD229:AD238)</f>
        <v>70050</v>
      </c>
      <c r="AG239" s="303"/>
      <c r="AH239" s="303"/>
      <c r="AI239" s="303"/>
      <c r="AJ239" s="304">
        <f>SUM(AJ229:AJ238)*AJ$2*$AS$1</f>
        <v>0</v>
      </c>
      <c r="AK239" s="304">
        <f t="shared" ref="AK239:AR239" si="223">SUM(AK229:AK238)*AK$2*$AS$1</f>
        <v>329500</v>
      </c>
      <c r="AL239" s="304">
        <f t="shared" si="223"/>
        <v>0</v>
      </c>
      <c r="AM239" s="304">
        <f t="shared" si="223"/>
        <v>551250</v>
      </c>
      <c r="AN239" s="304">
        <f t="shared" si="223"/>
        <v>38000</v>
      </c>
      <c r="AO239" s="304">
        <f t="shared" si="223"/>
        <v>150500</v>
      </c>
      <c r="AP239" s="304">
        <f t="shared" si="223"/>
        <v>0</v>
      </c>
      <c r="AQ239" s="304">
        <f t="shared" si="223"/>
        <v>0</v>
      </c>
      <c r="AR239" s="304">
        <f t="shared" si="223"/>
        <v>26600</v>
      </c>
      <c r="AS239" s="305">
        <f>SUM(AJ239:AR239)</f>
        <v>1095850</v>
      </c>
      <c r="AX239" s="108">
        <f t="shared" si="173"/>
        <v>0</v>
      </c>
      <c r="AY239" s="108">
        <f t="shared" si="174"/>
        <v>0</v>
      </c>
      <c r="AZ239" s="108">
        <f t="shared" si="175"/>
        <v>0</v>
      </c>
      <c r="BA239" s="108">
        <f t="shared" si="176"/>
        <v>0</v>
      </c>
      <c r="BB239" s="108">
        <f t="shared" si="177"/>
        <v>0</v>
      </c>
      <c r="BC239" s="108">
        <f t="shared" si="178"/>
        <v>0</v>
      </c>
      <c r="BD239" s="108">
        <f t="shared" si="179"/>
        <v>0</v>
      </c>
      <c r="BE239" s="108">
        <f t="shared" si="180"/>
        <v>0</v>
      </c>
      <c r="BF239" s="108">
        <f t="shared" si="181"/>
        <v>0</v>
      </c>
      <c r="BG239" s="108">
        <f t="shared" si="182"/>
        <v>0</v>
      </c>
      <c r="BH239" s="108">
        <f t="shared" si="195"/>
        <v>0</v>
      </c>
      <c r="BJ239" s="108">
        <f t="shared" si="183"/>
        <v>0</v>
      </c>
      <c r="BK239" s="108">
        <f t="shared" si="184"/>
        <v>0</v>
      </c>
      <c r="BL239" s="108">
        <f t="shared" si="185"/>
        <v>0</v>
      </c>
      <c r="BM239" s="108">
        <f t="shared" si="186"/>
        <v>0</v>
      </c>
      <c r="BN239" s="108">
        <f t="shared" si="187"/>
        <v>0</v>
      </c>
      <c r="BO239" s="108">
        <f t="shared" si="188"/>
        <v>0</v>
      </c>
      <c r="BP239" s="108">
        <f t="shared" si="189"/>
        <v>0</v>
      </c>
      <c r="BQ239" s="108">
        <f t="shared" si="190"/>
        <v>0</v>
      </c>
      <c r="BR239" s="108">
        <f t="shared" si="191"/>
        <v>0</v>
      </c>
      <c r="BS239" s="108">
        <f t="shared" si="192"/>
        <v>0</v>
      </c>
      <c r="BT239" s="108">
        <f t="shared" si="196"/>
        <v>0</v>
      </c>
    </row>
    <row r="240" spans="1:72" ht="25" customHeight="1" x14ac:dyDescent="0.3">
      <c r="A240" s="185"/>
      <c r="B240" s="116" t="s">
        <v>1607</v>
      </c>
      <c r="C240" s="126" t="s">
        <v>1596</v>
      </c>
      <c r="D240" s="126" t="s">
        <v>1575</v>
      </c>
      <c r="E240" s="116" t="s">
        <v>1576</v>
      </c>
      <c r="F240" s="111">
        <v>7.3396024000000004</v>
      </c>
      <c r="G240" s="111">
        <v>134.47566760000001</v>
      </c>
      <c r="H240" s="295" t="s">
        <v>1612</v>
      </c>
      <c r="I240" s="112">
        <v>2018</v>
      </c>
      <c r="J240" s="112" t="s">
        <v>1577</v>
      </c>
      <c r="K240" s="295" t="s">
        <v>1577</v>
      </c>
      <c r="L240" s="117">
        <v>595</v>
      </c>
      <c r="M240" s="118" t="s">
        <v>318</v>
      </c>
      <c r="N240" s="196" t="s">
        <v>159</v>
      </c>
      <c r="O240" s="196" t="s">
        <v>1279</v>
      </c>
      <c r="P240" s="196" t="s">
        <v>328</v>
      </c>
      <c r="Q240" s="118" t="s">
        <v>353</v>
      </c>
      <c r="R240" s="154">
        <v>3</v>
      </c>
      <c r="S240" s="154">
        <v>4</v>
      </c>
      <c r="T240" s="154">
        <v>4</v>
      </c>
      <c r="U240" s="154">
        <v>4</v>
      </c>
      <c r="V240" s="154">
        <v>1</v>
      </c>
      <c r="W240" s="154">
        <v>4</v>
      </c>
      <c r="X240" s="154">
        <v>4</v>
      </c>
      <c r="Y240" s="154">
        <v>4</v>
      </c>
      <c r="Z240" s="154">
        <v>5</v>
      </c>
      <c r="AA240" s="154">
        <v>5</v>
      </c>
      <c r="AB240" s="296">
        <f t="shared" si="193"/>
        <v>79</v>
      </c>
      <c r="AC240" s="297">
        <f t="shared" ref="AC240:AC259" si="224">L240*AC$2</f>
        <v>1487500</v>
      </c>
      <c r="AD240" s="301">
        <f t="shared" si="194"/>
        <v>7437.5</v>
      </c>
      <c r="AE240" s="298"/>
      <c r="AJ240" s="108">
        <f t="shared" ref="AJ240:AJ259" si="225">IF(OR(R240=1,R240=2),$L240,0)</f>
        <v>0</v>
      </c>
      <c r="AK240" s="108">
        <f t="shared" ref="AK240:AK259" si="226">IF(OR(S240=1,S240=2),$L240,0)</f>
        <v>0</v>
      </c>
      <c r="AL240" s="108">
        <f t="shared" ref="AL240:AL259" si="227">IF(OR(T240=1,T240=2),$L240,0)</f>
        <v>0</v>
      </c>
      <c r="AM240" s="108">
        <f t="shared" ref="AM240:AM259" si="228">IF(OR(U240=1,U240=2),$L240,0)</f>
        <v>0</v>
      </c>
      <c r="AN240" s="108">
        <f t="shared" ref="AN240:AN259" si="229">IF(OR(V240=1,V240=2),$L240,0)</f>
        <v>595</v>
      </c>
      <c r="AO240" s="108">
        <f t="shared" ref="AO240:AO259" si="230">IF(OR(W240=1,W240=2),$L240,0)</f>
        <v>0</v>
      </c>
      <c r="AP240" s="108">
        <f t="shared" ref="AP240:AP259" si="231">IF(OR(X240=1,X240=2),$L240,0)</f>
        <v>0</v>
      </c>
      <c r="AQ240" s="108">
        <f t="shared" ref="AQ240:AQ259" si="232">IF(OR(Y240=1,Y240=2),$L240,0)</f>
        <v>0</v>
      </c>
      <c r="AR240" s="108">
        <f t="shared" ref="AR240:AR259" si="233">IF(OR(Z240=1,Z240=2),$L240,0)</f>
        <v>0</v>
      </c>
      <c r="AX240" s="108">
        <f t="shared" si="173"/>
        <v>3</v>
      </c>
      <c r="AY240" s="108">
        <f t="shared" si="174"/>
        <v>4</v>
      </c>
      <c r="AZ240" s="108">
        <f t="shared" si="175"/>
        <v>4</v>
      </c>
      <c r="BA240" s="108">
        <f t="shared" si="176"/>
        <v>4</v>
      </c>
      <c r="BB240" s="108">
        <f t="shared" si="177"/>
        <v>1</v>
      </c>
      <c r="BC240" s="108">
        <f t="shared" si="178"/>
        <v>4</v>
      </c>
      <c r="BD240" s="108">
        <f t="shared" si="179"/>
        <v>4</v>
      </c>
      <c r="BE240" s="108">
        <f t="shared" si="180"/>
        <v>4</v>
      </c>
      <c r="BF240" s="108">
        <f t="shared" si="181"/>
        <v>5</v>
      </c>
      <c r="BG240" s="108">
        <f t="shared" si="182"/>
        <v>5</v>
      </c>
      <c r="BH240" s="108">
        <f t="shared" si="195"/>
        <v>79</v>
      </c>
      <c r="BJ240" s="108">
        <f t="shared" si="183"/>
        <v>5</v>
      </c>
      <c r="BK240" s="108">
        <f t="shared" si="184"/>
        <v>5</v>
      </c>
      <c r="BL240" s="108">
        <f t="shared" si="185"/>
        <v>5</v>
      </c>
      <c r="BM240" s="108">
        <f t="shared" si="186"/>
        <v>5</v>
      </c>
      <c r="BN240" s="108">
        <f t="shared" si="187"/>
        <v>5</v>
      </c>
      <c r="BO240" s="108">
        <f t="shared" si="188"/>
        <v>5</v>
      </c>
      <c r="BP240" s="108">
        <f t="shared" si="189"/>
        <v>5</v>
      </c>
      <c r="BQ240" s="108">
        <f t="shared" si="190"/>
        <v>5</v>
      </c>
      <c r="BR240" s="108">
        <f t="shared" si="191"/>
        <v>5</v>
      </c>
      <c r="BS240" s="108">
        <f t="shared" si="192"/>
        <v>5</v>
      </c>
      <c r="BT240" s="108">
        <f t="shared" si="196"/>
        <v>100</v>
      </c>
    </row>
    <row r="241" spans="1:72" ht="25" customHeight="1" x14ac:dyDescent="0.3">
      <c r="A241" s="185"/>
      <c r="B241" s="116" t="s">
        <v>1608</v>
      </c>
      <c r="C241" s="126" t="s">
        <v>1595</v>
      </c>
      <c r="D241" s="126" t="s">
        <v>1575</v>
      </c>
      <c r="E241" s="116" t="s">
        <v>1576</v>
      </c>
      <c r="F241" s="111">
        <v>7.3410218</v>
      </c>
      <c r="G241" s="111">
        <v>134.47535120000001</v>
      </c>
      <c r="H241" s="295" t="s">
        <v>1613</v>
      </c>
      <c r="I241" s="112" t="s">
        <v>502</v>
      </c>
      <c r="J241" s="112">
        <v>2019</v>
      </c>
      <c r="K241" s="295" t="s">
        <v>1578</v>
      </c>
      <c r="L241" s="117">
        <v>282</v>
      </c>
      <c r="M241" s="118" t="s">
        <v>308</v>
      </c>
      <c r="N241" s="196" t="s">
        <v>298</v>
      </c>
      <c r="O241" s="118" t="s">
        <v>329</v>
      </c>
      <c r="P241" s="196" t="s">
        <v>322</v>
      </c>
      <c r="Q241" s="118" t="s">
        <v>334</v>
      </c>
      <c r="R241" s="154">
        <v>5</v>
      </c>
      <c r="S241" s="154">
        <v>5</v>
      </c>
      <c r="T241" s="154">
        <v>5</v>
      </c>
      <c r="U241" s="154">
        <v>5</v>
      </c>
      <c r="V241" s="154">
        <v>4</v>
      </c>
      <c r="W241" s="154">
        <v>5</v>
      </c>
      <c r="X241" s="154">
        <v>3</v>
      </c>
      <c r="Y241" s="154">
        <v>3</v>
      </c>
      <c r="Z241" s="154">
        <v>3</v>
      </c>
      <c r="AA241" s="154">
        <v>5</v>
      </c>
      <c r="AB241" s="296">
        <f t="shared" si="193"/>
        <v>93</v>
      </c>
      <c r="AC241" s="297">
        <f t="shared" si="224"/>
        <v>705000</v>
      </c>
      <c r="AD241" s="301">
        <f t="shared" si="194"/>
        <v>3525</v>
      </c>
      <c r="AE241" s="298"/>
      <c r="AJ241" s="108">
        <f t="shared" si="225"/>
        <v>0</v>
      </c>
      <c r="AK241" s="108">
        <f t="shared" si="226"/>
        <v>0</v>
      </c>
      <c r="AL241" s="108">
        <f t="shared" si="227"/>
        <v>0</v>
      </c>
      <c r="AM241" s="108">
        <f t="shared" si="228"/>
        <v>0</v>
      </c>
      <c r="AN241" s="108">
        <f t="shared" si="229"/>
        <v>0</v>
      </c>
      <c r="AO241" s="108">
        <f t="shared" si="230"/>
        <v>0</v>
      </c>
      <c r="AP241" s="108">
        <f t="shared" si="231"/>
        <v>0</v>
      </c>
      <c r="AQ241" s="108">
        <f t="shared" si="232"/>
        <v>0</v>
      </c>
      <c r="AR241" s="108">
        <f t="shared" si="233"/>
        <v>0</v>
      </c>
      <c r="AX241" s="108">
        <f t="shared" si="173"/>
        <v>5</v>
      </c>
      <c r="AY241" s="108">
        <f t="shared" si="174"/>
        <v>5</v>
      </c>
      <c r="AZ241" s="108">
        <f t="shared" si="175"/>
        <v>5</v>
      </c>
      <c r="BA241" s="108">
        <f t="shared" si="176"/>
        <v>5</v>
      </c>
      <c r="BB241" s="108">
        <f t="shared" si="177"/>
        <v>4</v>
      </c>
      <c r="BC241" s="108">
        <f t="shared" si="178"/>
        <v>5</v>
      </c>
      <c r="BD241" s="108">
        <f t="shared" si="179"/>
        <v>3</v>
      </c>
      <c r="BE241" s="108">
        <f t="shared" si="180"/>
        <v>3</v>
      </c>
      <c r="BF241" s="108">
        <f t="shared" si="181"/>
        <v>3</v>
      </c>
      <c r="BG241" s="108">
        <f t="shared" si="182"/>
        <v>5</v>
      </c>
      <c r="BH241" s="108">
        <f t="shared" si="195"/>
        <v>93</v>
      </c>
      <c r="BJ241" s="108">
        <f t="shared" si="183"/>
        <v>5</v>
      </c>
      <c r="BK241" s="108">
        <f t="shared" si="184"/>
        <v>5</v>
      </c>
      <c r="BL241" s="108">
        <f t="shared" si="185"/>
        <v>5</v>
      </c>
      <c r="BM241" s="108">
        <f t="shared" si="186"/>
        <v>5</v>
      </c>
      <c r="BN241" s="108">
        <f t="shared" si="187"/>
        <v>5</v>
      </c>
      <c r="BO241" s="108">
        <f t="shared" si="188"/>
        <v>5</v>
      </c>
      <c r="BP241" s="108">
        <f t="shared" si="189"/>
        <v>5</v>
      </c>
      <c r="BQ241" s="108">
        <f t="shared" si="190"/>
        <v>5</v>
      </c>
      <c r="BR241" s="108">
        <f t="shared" si="191"/>
        <v>5</v>
      </c>
      <c r="BS241" s="108">
        <f t="shared" si="192"/>
        <v>5</v>
      </c>
      <c r="BT241" s="108">
        <f t="shared" si="196"/>
        <v>100</v>
      </c>
    </row>
    <row r="242" spans="1:72" ht="25" customHeight="1" x14ac:dyDescent="0.3">
      <c r="A242" s="185"/>
      <c r="B242" s="116" t="s">
        <v>1614</v>
      </c>
      <c r="C242" s="126" t="s">
        <v>1593</v>
      </c>
      <c r="D242" s="126" t="s">
        <v>1396</v>
      </c>
      <c r="E242" s="116" t="s">
        <v>910</v>
      </c>
      <c r="F242" s="111">
        <v>7.3533524999999997</v>
      </c>
      <c r="G242" s="111">
        <v>134.46298419999999</v>
      </c>
      <c r="H242" s="295" t="s">
        <v>1601</v>
      </c>
      <c r="I242" s="112" t="s">
        <v>421</v>
      </c>
      <c r="J242" s="112" t="s">
        <v>1577</v>
      </c>
      <c r="K242" s="295" t="s">
        <v>1577</v>
      </c>
      <c r="L242" s="117">
        <v>1027</v>
      </c>
      <c r="M242" s="118" t="s">
        <v>308</v>
      </c>
      <c r="N242" s="196" t="s">
        <v>298</v>
      </c>
      <c r="O242" s="118" t="s">
        <v>329</v>
      </c>
      <c r="P242" s="196" t="s">
        <v>322</v>
      </c>
      <c r="Q242" s="118" t="s">
        <v>1522</v>
      </c>
      <c r="R242" s="154">
        <v>5</v>
      </c>
      <c r="S242" s="154">
        <v>4</v>
      </c>
      <c r="T242" s="154">
        <v>3</v>
      </c>
      <c r="U242" s="154">
        <v>3</v>
      </c>
      <c r="V242" s="154">
        <v>3</v>
      </c>
      <c r="W242" s="154">
        <v>3</v>
      </c>
      <c r="X242" s="154">
        <v>3</v>
      </c>
      <c r="Y242" s="154">
        <v>3</v>
      </c>
      <c r="Z242" s="154">
        <v>2</v>
      </c>
      <c r="AA242" s="154">
        <v>3</v>
      </c>
      <c r="AB242" s="296">
        <f t="shared" si="193"/>
        <v>70</v>
      </c>
      <c r="AC242" s="297">
        <f t="shared" si="224"/>
        <v>2567500</v>
      </c>
      <c r="AD242" s="301">
        <f t="shared" si="194"/>
        <v>12837.5</v>
      </c>
      <c r="AE242" s="298"/>
      <c r="AJ242" s="108">
        <f t="shared" si="225"/>
        <v>0</v>
      </c>
      <c r="AK242" s="108">
        <f t="shared" si="226"/>
        <v>0</v>
      </c>
      <c r="AL242" s="108">
        <f t="shared" si="227"/>
        <v>0</v>
      </c>
      <c r="AM242" s="108">
        <f t="shared" si="228"/>
        <v>0</v>
      </c>
      <c r="AN242" s="108">
        <f t="shared" si="229"/>
        <v>0</v>
      </c>
      <c r="AO242" s="108">
        <f t="shared" si="230"/>
        <v>0</v>
      </c>
      <c r="AP242" s="108">
        <f t="shared" si="231"/>
        <v>0</v>
      </c>
      <c r="AQ242" s="108">
        <f t="shared" si="232"/>
        <v>0</v>
      </c>
      <c r="AR242" s="108">
        <f t="shared" si="233"/>
        <v>1027</v>
      </c>
      <c r="AX242" s="108">
        <f t="shared" si="173"/>
        <v>5</v>
      </c>
      <c r="AY242" s="108">
        <f t="shared" si="174"/>
        <v>4</v>
      </c>
      <c r="AZ242" s="108">
        <f t="shared" si="175"/>
        <v>3</v>
      </c>
      <c r="BA242" s="108">
        <f t="shared" si="176"/>
        <v>3</v>
      </c>
      <c r="BB242" s="108">
        <f t="shared" si="177"/>
        <v>3</v>
      </c>
      <c r="BC242" s="108">
        <f t="shared" si="178"/>
        <v>3</v>
      </c>
      <c r="BD242" s="108">
        <f t="shared" si="179"/>
        <v>3</v>
      </c>
      <c r="BE242" s="108">
        <f t="shared" si="180"/>
        <v>3</v>
      </c>
      <c r="BF242" s="108">
        <f t="shared" si="181"/>
        <v>2</v>
      </c>
      <c r="BG242" s="108">
        <f t="shared" si="182"/>
        <v>3</v>
      </c>
      <c r="BH242" s="108">
        <f t="shared" si="195"/>
        <v>70</v>
      </c>
      <c r="BJ242" s="108">
        <f t="shared" si="183"/>
        <v>5</v>
      </c>
      <c r="BK242" s="108">
        <f t="shared" si="184"/>
        <v>5</v>
      </c>
      <c r="BL242" s="108">
        <f t="shared" si="185"/>
        <v>5</v>
      </c>
      <c r="BM242" s="108">
        <f t="shared" si="186"/>
        <v>5</v>
      </c>
      <c r="BN242" s="108">
        <f t="shared" si="187"/>
        <v>5</v>
      </c>
      <c r="BO242" s="108">
        <f t="shared" si="188"/>
        <v>5</v>
      </c>
      <c r="BP242" s="108">
        <f t="shared" si="189"/>
        <v>5</v>
      </c>
      <c r="BQ242" s="108">
        <f t="shared" si="190"/>
        <v>5</v>
      </c>
      <c r="BR242" s="108">
        <f t="shared" si="191"/>
        <v>5</v>
      </c>
      <c r="BS242" s="108">
        <f t="shared" si="192"/>
        <v>5</v>
      </c>
      <c r="BT242" s="108">
        <f t="shared" si="196"/>
        <v>100</v>
      </c>
    </row>
    <row r="243" spans="1:72" ht="25" customHeight="1" x14ac:dyDescent="0.3">
      <c r="A243" s="185"/>
      <c r="B243" s="116" t="s">
        <v>1615</v>
      </c>
      <c r="C243" s="126" t="s">
        <v>1609</v>
      </c>
      <c r="D243" s="126" t="s">
        <v>1610</v>
      </c>
      <c r="E243" s="116" t="s">
        <v>910</v>
      </c>
      <c r="F243" s="111">
        <f>7+21/60+13/3600</f>
        <v>7.3536111111111104</v>
      </c>
      <c r="G243" s="111">
        <f>134+27/60+44/3600</f>
        <v>134.46222222222221</v>
      </c>
      <c r="H243" s="295" t="s">
        <v>1601</v>
      </c>
      <c r="I243" s="112" t="s">
        <v>421</v>
      </c>
      <c r="J243" s="112">
        <v>2016</v>
      </c>
      <c r="K243" s="295" t="s">
        <v>1611</v>
      </c>
      <c r="L243" s="117">
        <v>336</v>
      </c>
      <c r="M243" s="118" t="s">
        <v>318</v>
      </c>
      <c r="N243" s="196" t="s">
        <v>298</v>
      </c>
      <c r="O243" s="118" t="s">
        <v>329</v>
      </c>
      <c r="P243" s="196" t="s">
        <v>322</v>
      </c>
      <c r="Q243" s="118" t="s">
        <v>1522</v>
      </c>
      <c r="R243" s="154">
        <v>5</v>
      </c>
      <c r="S243" s="154">
        <v>5</v>
      </c>
      <c r="T243" s="154">
        <v>4</v>
      </c>
      <c r="U243" s="154">
        <v>5</v>
      </c>
      <c r="V243" s="154">
        <v>5</v>
      </c>
      <c r="W243" s="154">
        <v>4</v>
      </c>
      <c r="X243" s="154">
        <v>2</v>
      </c>
      <c r="Y243" s="154">
        <v>4</v>
      </c>
      <c r="Z243" s="154">
        <v>5</v>
      </c>
      <c r="AA243" s="154">
        <v>5</v>
      </c>
      <c r="AB243" s="296">
        <f t="shared" si="193"/>
        <v>93</v>
      </c>
      <c r="AC243" s="297">
        <f t="shared" si="224"/>
        <v>840000</v>
      </c>
      <c r="AD243" s="301">
        <f t="shared" si="194"/>
        <v>4200</v>
      </c>
      <c r="AE243" s="298"/>
      <c r="AJ243" s="108">
        <f t="shared" si="225"/>
        <v>0</v>
      </c>
      <c r="AK243" s="108">
        <f t="shared" si="226"/>
        <v>0</v>
      </c>
      <c r="AL243" s="108">
        <f t="shared" si="227"/>
        <v>0</v>
      </c>
      <c r="AM243" s="108">
        <f t="shared" si="228"/>
        <v>0</v>
      </c>
      <c r="AN243" s="108">
        <f t="shared" si="229"/>
        <v>0</v>
      </c>
      <c r="AO243" s="108">
        <f t="shared" si="230"/>
        <v>0</v>
      </c>
      <c r="AP243" s="108">
        <f t="shared" si="231"/>
        <v>336</v>
      </c>
      <c r="AQ243" s="108">
        <f t="shared" si="232"/>
        <v>0</v>
      </c>
      <c r="AR243" s="108">
        <f t="shared" si="233"/>
        <v>0</v>
      </c>
      <c r="AX243" s="108">
        <f t="shared" si="173"/>
        <v>5</v>
      </c>
      <c r="AY243" s="108">
        <f t="shared" si="174"/>
        <v>5</v>
      </c>
      <c r="AZ243" s="108">
        <f t="shared" si="175"/>
        <v>4</v>
      </c>
      <c r="BA243" s="108">
        <f t="shared" si="176"/>
        <v>5</v>
      </c>
      <c r="BB243" s="108">
        <f t="shared" si="177"/>
        <v>5</v>
      </c>
      <c r="BC243" s="108">
        <f t="shared" si="178"/>
        <v>4</v>
      </c>
      <c r="BD243" s="108">
        <f t="shared" si="179"/>
        <v>2</v>
      </c>
      <c r="BE243" s="108">
        <f t="shared" si="180"/>
        <v>4</v>
      </c>
      <c r="BF243" s="108">
        <f t="shared" si="181"/>
        <v>5</v>
      </c>
      <c r="BG243" s="108">
        <f t="shared" si="182"/>
        <v>5</v>
      </c>
      <c r="BH243" s="108">
        <f t="shared" si="195"/>
        <v>93</v>
      </c>
      <c r="BJ243" s="108">
        <f t="shared" si="183"/>
        <v>5</v>
      </c>
      <c r="BK243" s="108">
        <f t="shared" si="184"/>
        <v>5</v>
      </c>
      <c r="BL243" s="108">
        <f t="shared" si="185"/>
        <v>5</v>
      </c>
      <c r="BM243" s="108">
        <f t="shared" si="186"/>
        <v>5</v>
      </c>
      <c r="BN243" s="108">
        <f t="shared" si="187"/>
        <v>5</v>
      </c>
      <c r="BO243" s="108">
        <f t="shared" si="188"/>
        <v>5</v>
      </c>
      <c r="BP243" s="108">
        <f t="shared" si="189"/>
        <v>5</v>
      </c>
      <c r="BQ243" s="108">
        <f t="shared" si="190"/>
        <v>5</v>
      </c>
      <c r="BR243" s="108">
        <f t="shared" si="191"/>
        <v>5</v>
      </c>
      <c r="BS243" s="108">
        <f t="shared" si="192"/>
        <v>5</v>
      </c>
      <c r="BT243" s="108">
        <f t="shared" si="196"/>
        <v>100</v>
      </c>
    </row>
    <row r="244" spans="1:72" ht="25" customHeight="1" x14ac:dyDescent="0.3">
      <c r="A244" s="185"/>
      <c r="B244" s="116" t="s">
        <v>1616</v>
      </c>
      <c r="C244" s="126" t="s">
        <v>1619</v>
      </c>
      <c r="D244" s="126" t="s">
        <v>1936</v>
      </c>
      <c r="E244" s="116" t="s">
        <v>1581</v>
      </c>
      <c r="F244" s="111">
        <f>7+30.17724/60</f>
        <v>7.5029539999999999</v>
      </c>
      <c r="G244" s="111">
        <f>134+37.24457/60</f>
        <v>134.62074283333334</v>
      </c>
      <c r="H244" s="295" t="s">
        <v>1613</v>
      </c>
      <c r="I244" s="112">
        <v>2018</v>
      </c>
      <c r="J244" s="112" t="s">
        <v>1577</v>
      </c>
      <c r="K244" s="295" t="s">
        <v>1577</v>
      </c>
      <c r="L244" s="117">
        <v>243</v>
      </c>
      <c r="M244" s="118" t="s">
        <v>308</v>
      </c>
      <c r="N244" s="196" t="s">
        <v>298</v>
      </c>
      <c r="O244" s="118" t="s">
        <v>329</v>
      </c>
      <c r="P244" s="196" t="s">
        <v>322</v>
      </c>
      <c r="Q244" s="118" t="s">
        <v>334</v>
      </c>
      <c r="R244" s="154">
        <v>5</v>
      </c>
      <c r="S244" s="154">
        <v>5</v>
      </c>
      <c r="T244" s="154">
        <v>5</v>
      </c>
      <c r="U244" s="154">
        <v>5</v>
      </c>
      <c r="V244" s="154">
        <v>5</v>
      </c>
      <c r="W244" s="154">
        <v>5</v>
      </c>
      <c r="X244" s="154">
        <v>5</v>
      </c>
      <c r="Y244" s="154">
        <v>5</v>
      </c>
      <c r="Z244" s="154">
        <v>5</v>
      </c>
      <c r="AA244" s="154">
        <v>5</v>
      </c>
      <c r="AB244" s="296">
        <f t="shared" si="193"/>
        <v>100</v>
      </c>
      <c r="AC244" s="297">
        <f t="shared" si="224"/>
        <v>607500</v>
      </c>
      <c r="AD244" s="301">
        <f t="shared" si="194"/>
        <v>3037.5</v>
      </c>
      <c r="AE244" s="298"/>
      <c r="AJ244" s="108">
        <f t="shared" si="225"/>
        <v>0</v>
      </c>
      <c r="AK244" s="108">
        <f t="shared" si="226"/>
        <v>0</v>
      </c>
      <c r="AL244" s="108">
        <f t="shared" si="227"/>
        <v>0</v>
      </c>
      <c r="AM244" s="108">
        <f t="shared" si="228"/>
        <v>0</v>
      </c>
      <c r="AN244" s="108">
        <f t="shared" si="229"/>
        <v>0</v>
      </c>
      <c r="AO244" s="108">
        <f t="shared" si="230"/>
        <v>0</v>
      </c>
      <c r="AP244" s="108">
        <f t="shared" si="231"/>
        <v>0</v>
      </c>
      <c r="AQ244" s="108">
        <f t="shared" si="232"/>
        <v>0</v>
      </c>
      <c r="AR244" s="108">
        <f t="shared" si="233"/>
        <v>0</v>
      </c>
      <c r="AX244" s="108">
        <f t="shared" si="173"/>
        <v>5</v>
      </c>
      <c r="AY244" s="108">
        <f t="shared" si="174"/>
        <v>5</v>
      </c>
      <c r="AZ244" s="108">
        <f t="shared" si="175"/>
        <v>5</v>
      </c>
      <c r="BA244" s="108">
        <f t="shared" si="176"/>
        <v>5</v>
      </c>
      <c r="BB244" s="108">
        <f t="shared" si="177"/>
        <v>5</v>
      </c>
      <c r="BC244" s="108">
        <f t="shared" si="178"/>
        <v>5</v>
      </c>
      <c r="BD244" s="108">
        <f t="shared" si="179"/>
        <v>5</v>
      </c>
      <c r="BE244" s="108">
        <f t="shared" si="180"/>
        <v>5</v>
      </c>
      <c r="BF244" s="108">
        <f t="shared" si="181"/>
        <v>5</v>
      </c>
      <c r="BG244" s="108">
        <f t="shared" si="182"/>
        <v>5</v>
      </c>
      <c r="BH244" s="108">
        <f t="shared" si="195"/>
        <v>100</v>
      </c>
      <c r="BJ244" s="108">
        <f t="shared" si="183"/>
        <v>5</v>
      </c>
      <c r="BK244" s="108">
        <f t="shared" si="184"/>
        <v>5</v>
      </c>
      <c r="BL244" s="108">
        <f t="shared" si="185"/>
        <v>5</v>
      </c>
      <c r="BM244" s="108">
        <f t="shared" si="186"/>
        <v>5</v>
      </c>
      <c r="BN244" s="108">
        <f t="shared" si="187"/>
        <v>5</v>
      </c>
      <c r="BO244" s="108">
        <f t="shared" si="188"/>
        <v>5</v>
      </c>
      <c r="BP244" s="108">
        <f t="shared" si="189"/>
        <v>5</v>
      </c>
      <c r="BQ244" s="108">
        <f t="shared" si="190"/>
        <v>5</v>
      </c>
      <c r="BR244" s="108">
        <f t="shared" si="191"/>
        <v>5</v>
      </c>
      <c r="BS244" s="108">
        <f t="shared" si="192"/>
        <v>5</v>
      </c>
      <c r="BT244" s="108">
        <f t="shared" si="196"/>
        <v>100</v>
      </c>
    </row>
    <row r="245" spans="1:72" ht="25" customHeight="1" x14ac:dyDescent="0.3">
      <c r="A245" s="185"/>
      <c r="B245" s="116" t="s">
        <v>1617</v>
      </c>
      <c r="C245" s="126" t="s">
        <v>1594</v>
      </c>
      <c r="D245" s="126" t="s">
        <v>1575</v>
      </c>
      <c r="E245" s="116" t="s">
        <v>808</v>
      </c>
      <c r="F245" s="111">
        <v>7.3393828000000001</v>
      </c>
      <c r="G245" s="111">
        <v>134.47364300000001</v>
      </c>
      <c r="H245" s="295" t="s">
        <v>1620</v>
      </c>
      <c r="I245" s="112">
        <v>2020</v>
      </c>
      <c r="J245" s="112" t="s">
        <v>1577</v>
      </c>
      <c r="K245" s="295" t="s">
        <v>1577</v>
      </c>
      <c r="L245" s="117">
        <v>152</v>
      </c>
      <c r="M245" s="118" t="s">
        <v>308</v>
      </c>
      <c r="N245" s="196" t="s">
        <v>159</v>
      </c>
      <c r="O245" s="196" t="s">
        <v>1279</v>
      </c>
      <c r="P245" s="196" t="s">
        <v>322</v>
      </c>
      <c r="Q245" s="118" t="s">
        <v>353</v>
      </c>
      <c r="R245" s="154">
        <v>5</v>
      </c>
      <c r="S245" s="154">
        <v>5</v>
      </c>
      <c r="T245" s="154">
        <v>5</v>
      </c>
      <c r="U245" s="154">
        <v>5</v>
      </c>
      <c r="V245" s="154">
        <v>5</v>
      </c>
      <c r="W245" s="154">
        <v>5</v>
      </c>
      <c r="X245" s="154">
        <v>5</v>
      </c>
      <c r="Y245" s="154">
        <v>5</v>
      </c>
      <c r="Z245" s="154">
        <v>5</v>
      </c>
      <c r="AA245" s="154">
        <v>5</v>
      </c>
      <c r="AB245" s="296">
        <f t="shared" si="193"/>
        <v>100</v>
      </c>
      <c r="AC245" s="297">
        <f t="shared" si="224"/>
        <v>380000</v>
      </c>
      <c r="AD245" s="301">
        <f t="shared" si="194"/>
        <v>1900</v>
      </c>
      <c r="AE245" s="298"/>
      <c r="AJ245" s="108">
        <f t="shared" si="225"/>
        <v>0</v>
      </c>
      <c r="AK245" s="108">
        <f t="shared" si="226"/>
        <v>0</v>
      </c>
      <c r="AL245" s="108">
        <f t="shared" si="227"/>
        <v>0</v>
      </c>
      <c r="AM245" s="108">
        <f t="shared" si="228"/>
        <v>0</v>
      </c>
      <c r="AN245" s="108">
        <f t="shared" si="229"/>
        <v>0</v>
      </c>
      <c r="AO245" s="108">
        <f t="shared" si="230"/>
        <v>0</v>
      </c>
      <c r="AP245" s="108">
        <f t="shared" si="231"/>
        <v>0</v>
      </c>
      <c r="AQ245" s="108">
        <f t="shared" si="232"/>
        <v>0</v>
      </c>
      <c r="AR245" s="108">
        <f t="shared" si="233"/>
        <v>0</v>
      </c>
      <c r="AX245" s="108">
        <f t="shared" si="173"/>
        <v>5</v>
      </c>
      <c r="AY245" s="108">
        <f t="shared" si="174"/>
        <v>5</v>
      </c>
      <c r="AZ245" s="108">
        <f t="shared" si="175"/>
        <v>5</v>
      </c>
      <c r="BA245" s="108">
        <f t="shared" si="176"/>
        <v>5</v>
      </c>
      <c r="BB245" s="108">
        <f t="shared" si="177"/>
        <v>5</v>
      </c>
      <c r="BC245" s="108">
        <f t="shared" si="178"/>
        <v>5</v>
      </c>
      <c r="BD245" s="108">
        <f t="shared" si="179"/>
        <v>5</v>
      </c>
      <c r="BE245" s="108">
        <f t="shared" si="180"/>
        <v>5</v>
      </c>
      <c r="BF245" s="108">
        <f t="shared" si="181"/>
        <v>5</v>
      </c>
      <c r="BG245" s="108">
        <f t="shared" si="182"/>
        <v>5</v>
      </c>
      <c r="BH245" s="108">
        <f t="shared" si="195"/>
        <v>100</v>
      </c>
      <c r="BJ245" s="108">
        <f t="shared" si="183"/>
        <v>5</v>
      </c>
      <c r="BK245" s="108">
        <f t="shared" si="184"/>
        <v>5</v>
      </c>
      <c r="BL245" s="108">
        <f t="shared" si="185"/>
        <v>5</v>
      </c>
      <c r="BM245" s="108">
        <f t="shared" si="186"/>
        <v>5</v>
      </c>
      <c r="BN245" s="108">
        <f t="shared" si="187"/>
        <v>5</v>
      </c>
      <c r="BO245" s="108">
        <f t="shared" si="188"/>
        <v>5</v>
      </c>
      <c r="BP245" s="108">
        <f t="shared" si="189"/>
        <v>5</v>
      </c>
      <c r="BQ245" s="108">
        <f t="shared" si="190"/>
        <v>5</v>
      </c>
      <c r="BR245" s="108">
        <f t="shared" si="191"/>
        <v>5</v>
      </c>
      <c r="BS245" s="108">
        <f t="shared" si="192"/>
        <v>5</v>
      </c>
      <c r="BT245" s="108">
        <f t="shared" si="196"/>
        <v>100</v>
      </c>
    </row>
    <row r="246" spans="1:72" ht="25" customHeight="1" x14ac:dyDescent="0.3">
      <c r="A246" s="185"/>
      <c r="B246" s="116" t="s">
        <v>1618</v>
      </c>
      <c r="C246" s="126" t="s">
        <v>1937</v>
      </c>
      <c r="D246" s="126" t="s">
        <v>1938</v>
      </c>
      <c r="E246" s="116" t="s">
        <v>1939</v>
      </c>
      <c r="F246" s="111">
        <f>7+20/60+45/3600</f>
        <v>7.3458333333333332</v>
      </c>
      <c r="G246" s="111">
        <f>134+27/60+50/3600</f>
        <v>134.46388888888887</v>
      </c>
      <c r="H246" s="295" t="s">
        <v>1604</v>
      </c>
      <c r="I246" s="112">
        <v>2015</v>
      </c>
      <c r="J246" s="112" t="s">
        <v>1577</v>
      </c>
      <c r="K246" s="295" t="s">
        <v>1577</v>
      </c>
      <c r="L246" s="117">
        <v>780</v>
      </c>
      <c r="M246" s="118" t="s">
        <v>308</v>
      </c>
      <c r="N246" s="196" t="s">
        <v>159</v>
      </c>
      <c r="O246" s="196" t="s">
        <v>1940</v>
      </c>
      <c r="P246" s="196" t="s">
        <v>322</v>
      </c>
      <c r="Q246" s="118" t="s">
        <v>1516</v>
      </c>
      <c r="R246" s="154">
        <v>5</v>
      </c>
      <c r="S246" s="154">
        <v>5</v>
      </c>
      <c r="T246" s="154">
        <v>5</v>
      </c>
      <c r="U246" s="154">
        <v>5</v>
      </c>
      <c r="V246" s="154">
        <v>4</v>
      </c>
      <c r="W246" s="154">
        <v>3</v>
      </c>
      <c r="X246" s="154" t="s">
        <v>92</v>
      </c>
      <c r="Y246" s="154" t="s">
        <v>92</v>
      </c>
      <c r="Z246" s="154">
        <v>5</v>
      </c>
      <c r="AA246" s="154">
        <v>5</v>
      </c>
      <c r="AB246" s="296">
        <f t="shared" si="193"/>
        <v>96.666666666666671</v>
      </c>
      <c r="AC246" s="297">
        <f t="shared" si="224"/>
        <v>1950000</v>
      </c>
      <c r="AD246" s="301">
        <f t="shared" si="194"/>
        <v>9750</v>
      </c>
      <c r="AE246" s="298"/>
      <c r="AJ246" s="108">
        <f t="shared" si="225"/>
        <v>0</v>
      </c>
      <c r="AK246" s="108">
        <f t="shared" si="226"/>
        <v>0</v>
      </c>
      <c r="AL246" s="108">
        <f t="shared" si="227"/>
        <v>0</v>
      </c>
      <c r="AM246" s="108">
        <f t="shared" si="228"/>
        <v>0</v>
      </c>
      <c r="AN246" s="108">
        <f t="shared" si="229"/>
        <v>0</v>
      </c>
      <c r="AO246" s="108">
        <f t="shared" si="230"/>
        <v>0</v>
      </c>
      <c r="AP246" s="108">
        <f t="shared" si="231"/>
        <v>0</v>
      </c>
      <c r="AQ246" s="108">
        <f t="shared" si="232"/>
        <v>0</v>
      </c>
      <c r="AR246" s="108">
        <f t="shared" si="233"/>
        <v>0</v>
      </c>
      <c r="AX246" s="108">
        <f t="shared" si="173"/>
        <v>5</v>
      </c>
      <c r="AY246" s="108">
        <f t="shared" si="174"/>
        <v>5</v>
      </c>
      <c r="AZ246" s="108">
        <f t="shared" si="175"/>
        <v>5</v>
      </c>
      <c r="BA246" s="108">
        <f t="shared" si="176"/>
        <v>5</v>
      </c>
      <c r="BB246" s="108">
        <f t="shared" si="177"/>
        <v>4</v>
      </c>
      <c r="BC246" s="108">
        <f t="shared" si="178"/>
        <v>3</v>
      </c>
      <c r="BD246" s="108">
        <f t="shared" si="179"/>
        <v>0</v>
      </c>
      <c r="BE246" s="108">
        <f t="shared" si="180"/>
        <v>0</v>
      </c>
      <c r="BF246" s="108">
        <f t="shared" si="181"/>
        <v>5</v>
      </c>
      <c r="BG246" s="108">
        <f t="shared" si="182"/>
        <v>5</v>
      </c>
      <c r="BH246" s="108">
        <f t="shared" si="195"/>
        <v>87</v>
      </c>
      <c r="BJ246" s="108">
        <f t="shared" si="183"/>
        <v>5</v>
      </c>
      <c r="BK246" s="108">
        <f t="shared" si="184"/>
        <v>5</v>
      </c>
      <c r="BL246" s="108">
        <f t="shared" si="185"/>
        <v>5</v>
      </c>
      <c r="BM246" s="108">
        <f t="shared" si="186"/>
        <v>5</v>
      </c>
      <c r="BN246" s="108">
        <f t="shared" si="187"/>
        <v>5</v>
      </c>
      <c r="BO246" s="108">
        <f t="shared" si="188"/>
        <v>5</v>
      </c>
      <c r="BP246" s="108">
        <f t="shared" si="189"/>
        <v>0</v>
      </c>
      <c r="BQ246" s="108">
        <f t="shared" si="190"/>
        <v>0</v>
      </c>
      <c r="BR246" s="108">
        <f t="shared" si="191"/>
        <v>5</v>
      </c>
      <c r="BS246" s="108">
        <f t="shared" si="192"/>
        <v>5</v>
      </c>
      <c r="BT246" s="108">
        <f t="shared" si="196"/>
        <v>90</v>
      </c>
    </row>
    <row r="247" spans="1:72" ht="25" customHeight="1" x14ac:dyDescent="0.3">
      <c r="A247" s="185"/>
      <c r="B247" s="116" t="s">
        <v>1941</v>
      </c>
      <c r="C247" s="126" t="s">
        <v>1942</v>
      </c>
      <c r="D247" s="126" t="s">
        <v>1943</v>
      </c>
      <c r="E247" s="116" t="s">
        <v>910</v>
      </c>
      <c r="F247" s="111">
        <f>7+21/60+21/3600</f>
        <v>7.355833333333333</v>
      </c>
      <c r="G247" s="111">
        <f>134+27/60+37/3600</f>
        <v>134.46027777777778</v>
      </c>
      <c r="H247" s="295" t="s">
        <v>1944</v>
      </c>
      <c r="I247" s="112" t="s">
        <v>502</v>
      </c>
      <c r="J247" s="112" t="s">
        <v>1577</v>
      </c>
      <c r="K247" s="295" t="s">
        <v>1577</v>
      </c>
      <c r="L247" s="117">
        <v>1240</v>
      </c>
      <c r="M247" s="118" t="s">
        <v>308</v>
      </c>
      <c r="N247" s="196" t="s">
        <v>298</v>
      </c>
      <c r="O247" s="118" t="s">
        <v>329</v>
      </c>
      <c r="P247" s="196" t="s">
        <v>322</v>
      </c>
      <c r="Q247" s="118" t="s">
        <v>334</v>
      </c>
      <c r="R247" s="154">
        <v>3</v>
      </c>
      <c r="S247" s="154">
        <v>3</v>
      </c>
      <c r="T247" s="154">
        <v>3</v>
      </c>
      <c r="U247" s="154">
        <v>3</v>
      </c>
      <c r="V247" s="154">
        <v>3</v>
      </c>
      <c r="W247" s="154">
        <v>3</v>
      </c>
      <c r="X247" s="154">
        <v>3</v>
      </c>
      <c r="Y247" s="154">
        <v>3</v>
      </c>
      <c r="Z247" s="154">
        <v>3</v>
      </c>
      <c r="AA247" s="154">
        <v>4</v>
      </c>
      <c r="AB247" s="296">
        <f t="shared" si="193"/>
        <v>64</v>
      </c>
      <c r="AC247" s="297">
        <f t="shared" si="224"/>
        <v>3100000</v>
      </c>
      <c r="AD247" s="301">
        <f t="shared" si="194"/>
        <v>15500</v>
      </c>
      <c r="AE247" s="298"/>
      <c r="AJ247" s="108">
        <f t="shared" si="225"/>
        <v>0</v>
      </c>
      <c r="AK247" s="108">
        <f t="shared" si="226"/>
        <v>0</v>
      </c>
      <c r="AL247" s="108">
        <f t="shared" si="227"/>
        <v>0</v>
      </c>
      <c r="AM247" s="108">
        <f t="shared" si="228"/>
        <v>0</v>
      </c>
      <c r="AN247" s="108">
        <f t="shared" si="229"/>
        <v>0</v>
      </c>
      <c r="AO247" s="108">
        <f t="shared" si="230"/>
        <v>0</v>
      </c>
      <c r="AP247" s="108">
        <f t="shared" si="231"/>
        <v>0</v>
      </c>
      <c r="AQ247" s="108">
        <f t="shared" si="232"/>
        <v>0</v>
      </c>
      <c r="AR247" s="108">
        <f t="shared" si="233"/>
        <v>0</v>
      </c>
      <c r="AX247" s="108">
        <f t="shared" si="173"/>
        <v>3</v>
      </c>
      <c r="AY247" s="108">
        <f t="shared" si="174"/>
        <v>3</v>
      </c>
      <c r="AZ247" s="108">
        <f t="shared" si="175"/>
        <v>3</v>
      </c>
      <c r="BA247" s="108">
        <f t="shared" si="176"/>
        <v>3</v>
      </c>
      <c r="BB247" s="108">
        <f t="shared" si="177"/>
        <v>3</v>
      </c>
      <c r="BC247" s="108">
        <f t="shared" si="178"/>
        <v>3</v>
      </c>
      <c r="BD247" s="108">
        <f t="shared" si="179"/>
        <v>3</v>
      </c>
      <c r="BE247" s="108">
        <f t="shared" si="180"/>
        <v>3</v>
      </c>
      <c r="BF247" s="108">
        <f t="shared" si="181"/>
        <v>3</v>
      </c>
      <c r="BG247" s="108">
        <f t="shared" si="182"/>
        <v>4</v>
      </c>
      <c r="BH247" s="108">
        <f t="shared" si="195"/>
        <v>64</v>
      </c>
      <c r="BJ247" s="108">
        <f t="shared" si="183"/>
        <v>5</v>
      </c>
      <c r="BK247" s="108">
        <f t="shared" si="184"/>
        <v>5</v>
      </c>
      <c r="BL247" s="108">
        <f t="shared" si="185"/>
        <v>5</v>
      </c>
      <c r="BM247" s="108">
        <f t="shared" si="186"/>
        <v>5</v>
      </c>
      <c r="BN247" s="108">
        <f t="shared" si="187"/>
        <v>5</v>
      </c>
      <c r="BO247" s="108">
        <f t="shared" si="188"/>
        <v>5</v>
      </c>
      <c r="BP247" s="108">
        <f t="shared" si="189"/>
        <v>5</v>
      </c>
      <c r="BQ247" s="108">
        <f t="shared" si="190"/>
        <v>5</v>
      </c>
      <c r="BR247" s="108">
        <f t="shared" si="191"/>
        <v>5</v>
      </c>
      <c r="BS247" s="108">
        <f t="shared" si="192"/>
        <v>5</v>
      </c>
      <c r="BT247" s="108">
        <f t="shared" si="196"/>
        <v>100</v>
      </c>
    </row>
    <row r="248" spans="1:72" ht="25" customHeight="1" x14ac:dyDescent="0.3">
      <c r="A248" s="185"/>
      <c r="B248" s="116" t="s">
        <v>1945</v>
      </c>
      <c r="C248" s="126" t="s">
        <v>1946</v>
      </c>
      <c r="D248" s="126" t="s">
        <v>1947</v>
      </c>
      <c r="E248" s="116" t="s">
        <v>910</v>
      </c>
      <c r="F248" s="111">
        <f>7+21.34675/60</f>
        <v>7.3557791666666663</v>
      </c>
      <c r="G248" s="111">
        <f>134+27.50702/60</f>
        <v>134.45845033333333</v>
      </c>
      <c r="H248" s="295" t="s">
        <v>1601</v>
      </c>
      <c r="I248" s="112" t="s">
        <v>502</v>
      </c>
      <c r="J248" s="112" t="s">
        <v>1577</v>
      </c>
      <c r="K248" s="295" t="s">
        <v>1577</v>
      </c>
      <c r="L248" s="117"/>
      <c r="M248" s="118" t="s">
        <v>308</v>
      </c>
      <c r="N248" s="196" t="s">
        <v>298</v>
      </c>
      <c r="O248" s="118" t="s">
        <v>329</v>
      </c>
      <c r="P248" s="196" t="s">
        <v>322</v>
      </c>
      <c r="Q248" s="118" t="s">
        <v>334</v>
      </c>
      <c r="R248" s="154">
        <v>4</v>
      </c>
      <c r="S248" s="154">
        <v>4</v>
      </c>
      <c r="T248" s="154">
        <v>2</v>
      </c>
      <c r="U248" s="154">
        <v>3</v>
      </c>
      <c r="V248" s="154">
        <v>3</v>
      </c>
      <c r="W248" s="154">
        <v>3</v>
      </c>
      <c r="X248" s="154">
        <v>3</v>
      </c>
      <c r="Y248" s="154">
        <v>4</v>
      </c>
      <c r="Z248" s="154">
        <v>3</v>
      </c>
      <c r="AA248" s="154">
        <v>5</v>
      </c>
      <c r="AB248" s="296">
        <f t="shared" si="193"/>
        <v>75</v>
      </c>
      <c r="AC248" s="297">
        <f t="shared" si="224"/>
        <v>0</v>
      </c>
      <c r="AD248" s="301">
        <f t="shared" si="194"/>
        <v>0</v>
      </c>
      <c r="AE248" s="298"/>
      <c r="AJ248" s="108">
        <f t="shared" si="225"/>
        <v>0</v>
      </c>
      <c r="AK248" s="108">
        <f t="shared" si="226"/>
        <v>0</v>
      </c>
      <c r="AL248" s="108">
        <f t="shared" si="227"/>
        <v>0</v>
      </c>
      <c r="AM248" s="108">
        <f t="shared" si="228"/>
        <v>0</v>
      </c>
      <c r="AN248" s="108">
        <f t="shared" si="229"/>
        <v>0</v>
      </c>
      <c r="AO248" s="108">
        <f t="shared" si="230"/>
        <v>0</v>
      </c>
      <c r="AP248" s="108">
        <f t="shared" si="231"/>
        <v>0</v>
      </c>
      <c r="AQ248" s="108">
        <f t="shared" si="232"/>
        <v>0</v>
      </c>
      <c r="AR248" s="108">
        <f t="shared" si="233"/>
        <v>0</v>
      </c>
      <c r="AX248" s="108">
        <f t="shared" si="173"/>
        <v>4</v>
      </c>
      <c r="AY248" s="108">
        <f t="shared" si="174"/>
        <v>4</v>
      </c>
      <c r="AZ248" s="108">
        <f t="shared" si="175"/>
        <v>2</v>
      </c>
      <c r="BA248" s="108">
        <f t="shared" si="176"/>
        <v>3</v>
      </c>
      <c r="BB248" s="108">
        <f t="shared" si="177"/>
        <v>3</v>
      </c>
      <c r="BC248" s="108">
        <f t="shared" si="178"/>
        <v>3</v>
      </c>
      <c r="BD248" s="108">
        <f t="shared" si="179"/>
        <v>3</v>
      </c>
      <c r="BE248" s="108">
        <f t="shared" si="180"/>
        <v>4</v>
      </c>
      <c r="BF248" s="108">
        <f t="shared" si="181"/>
        <v>3</v>
      </c>
      <c r="BG248" s="108">
        <f t="shared" si="182"/>
        <v>5</v>
      </c>
      <c r="BH248" s="108">
        <f t="shared" si="195"/>
        <v>75</v>
      </c>
      <c r="BJ248" s="108">
        <f t="shared" si="183"/>
        <v>5</v>
      </c>
      <c r="BK248" s="108">
        <f t="shared" si="184"/>
        <v>5</v>
      </c>
      <c r="BL248" s="108">
        <f t="shared" si="185"/>
        <v>5</v>
      </c>
      <c r="BM248" s="108">
        <f t="shared" si="186"/>
        <v>5</v>
      </c>
      <c r="BN248" s="108">
        <f t="shared" si="187"/>
        <v>5</v>
      </c>
      <c r="BO248" s="108">
        <f t="shared" si="188"/>
        <v>5</v>
      </c>
      <c r="BP248" s="108">
        <f t="shared" si="189"/>
        <v>5</v>
      </c>
      <c r="BQ248" s="108">
        <f t="shared" si="190"/>
        <v>5</v>
      </c>
      <c r="BR248" s="108">
        <f t="shared" si="191"/>
        <v>5</v>
      </c>
      <c r="BS248" s="108">
        <f t="shared" si="192"/>
        <v>5</v>
      </c>
      <c r="BT248" s="108">
        <f t="shared" si="196"/>
        <v>100</v>
      </c>
    </row>
    <row r="249" spans="1:72" ht="25" customHeight="1" x14ac:dyDescent="0.3">
      <c r="A249" s="185"/>
      <c r="B249" s="116" t="s">
        <v>1948</v>
      </c>
      <c r="C249" s="126" t="s">
        <v>1949</v>
      </c>
      <c r="D249" s="126" t="s">
        <v>1943</v>
      </c>
      <c r="E249" s="116" t="s">
        <v>788</v>
      </c>
      <c r="F249" s="111">
        <f>7+20/60+31/3600</f>
        <v>7.3419444444444437</v>
      </c>
      <c r="G249" s="111">
        <f>134+28/60+27/3600</f>
        <v>134.47416666666666</v>
      </c>
      <c r="H249" s="295" t="s">
        <v>1604</v>
      </c>
      <c r="I249" s="112" t="s">
        <v>502</v>
      </c>
      <c r="J249" s="112">
        <v>2020</v>
      </c>
      <c r="K249" s="295" t="s">
        <v>1950</v>
      </c>
      <c r="L249" s="117">
        <v>2570</v>
      </c>
      <c r="M249" s="118" t="s">
        <v>308</v>
      </c>
      <c r="N249" s="196" t="s">
        <v>159</v>
      </c>
      <c r="O249" s="196" t="s">
        <v>1951</v>
      </c>
      <c r="P249" s="196" t="s">
        <v>1952</v>
      </c>
      <c r="Q249" s="118" t="s">
        <v>1516</v>
      </c>
      <c r="R249" s="154">
        <v>5</v>
      </c>
      <c r="S249" s="154">
        <v>5</v>
      </c>
      <c r="T249" s="154">
        <v>5</v>
      </c>
      <c r="U249" s="154">
        <v>5</v>
      </c>
      <c r="V249" s="154">
        <v>5</v>
      </c>
      <c r="W249" s="154">
        <v>5</v>
      </c>
      <c r="X249" s="154">
        <v>5</v>
      </c>
      <c r="Y249" s="154">
        <v>5</v>
      </c>
      <c r="Z249" s="154">
        <v>5</v>
      </c>
      <c r="AA249" s="154">
        <v>5</v>
      </c>
      <c r="AB249" s="296">
        <f t="shared" si="193"/>
        <v>100</v>
      </c>
      <c r="AC249" s="297">
        <f t="shared" si="224"/>
        <v>6425000</v>
      </c>
      <c r="AD249" s="301">
        <f t="shared" si="194"/>
        <v>32125</v>
      </c>
      <c r="AE249" s="298"/>
      <c r="AJ249" s="108">
        <f t="shared" si="225"/>
        <v>0</v>
      </c>
      <c r="AK249" s="108">
        <f t="shared" si="226"/>
        <v>0</v>
      </c>
      <c r="AL249" s="108">
        <f t="shared" si="227"/>
        <v>0</v>
      </c>
      <c r="AM249" s="108">
        <f t="shared" si="228"/>
        <v>0</v>
      </c>
      <c r="AN249" s="108">
        <f t="shared" si="229"/>
        <v>0</v>
      </c>
      <c r="AO249" s="108">
        <f t="shared" si="230"/>
        <v>0</v>
      </c>
      <c r="AP249" s="108">
        <f t="shared" si="231"/>
        <v>0</v>
      </c>
      <c r="AQ249" s="108">
        <f t="shared" si="232"/>
        <v>0</v>
      </c>
      <c r="AR249" s="108">
        <f t="shared" si="233"/>
        <v>0</v>
      </c>
      <c r="AX249" s="108">
        <f t="shared" si="173"/>
        <v>5</v>
      </c>
      <c r="AY249" s="108">
        <f t="shared" si="174"/>
        <v>5</v>
      </c>
      <c r="AZ249" s="108">
        <f t="shared" si="175"/>
        <v>5</v>
      </c>
      <c r="BA249" s="108">
        <f t="shared" si="176"/>
        <v>5</v>
      </c>
      <c r="BB249" s="108">
        <f t="shared" si="177"/>
        <v>5</v>
      </c>
      <c r="BC249" s="108">
        <f t="shared" si="178"/>
        <v>5</v>
      </c>
      <c r="BD249" s="108">
        <f t="shared" si="179"/>
        <v>5</v>
      </c>
      <c r="BE249" s="108">
        <f t="shared" si="180"/>
        <v>5</v>
      </c>
      <c r="BF249" s="108">
        <f t="shared" si="181"/>
        <v>5</v>
      </c>
      <c r="BG249" s="108">
        <f t="shared" si="182"/>
        <v>5</v>
      </c>
      <c r="BH249" s="108">
        <f t="shared" si="195"/>
        <v>100</v>
      </c>
      <c r="BJ249" s="108">
        <f t="shared" si="183"/>
        <v>5</v>
      </c>
      <c r="BK249" s="108">
        <f t="shared" si="184"/>
        <v>5</v>
      </c>
      <c r="BL249" s="108">
        <f t="shared" si="185"/>
        <v>5</v>
      </c>
      <c r="BM249" s="108">
        <f t="shared" si="186"/>
        <v>5</v>
      </c>
      <c r="BN249" s="108">
        <f t="shared" si="187"/>
        <v>5</v>
      </c>
      <c r="BO249" s="108">
        <f t="shared" si="188"/>
        <v>5</v>
      </c>
      <c r="BP249" s="108">
        <f t="shared" si="189"/>
        <v>5</v>
      </c>
      <c r="BQ249" s="108">
        <f t="shared" si="190"/>
        <v>5</v>
      </c>
      <c r="BR249" s="108">
        <f t="shared" si="191"/>
        <v>5</v>
      </c>
      <c r="BS249" s="108">
        <f t="shared" si="192"/>
        <v>5</v>
      </c>
      <c r="BT249" s="108">
        <f t="shared" si="196"/>
        <v>100</v>
      </c>
    </row>
    <row r="250" spans="1:72" ht="25" customHeight="1" x14ac:dyDescent="0.3">
      <c r="A250" s="185"/>
      <c r="B250" s="116" t="s">
        <v>1953</v>
      </c>
      <c r="C250" s="126" t="s">
        <v>1954</v>
      </c>
      <c r="D250" s="126" t="s">
        <v>1947</v>
      </c>
      <c r="E250" s="116" t="s">
        <v>788</v>
      </c>
      <c r="F250" s="111">
        <f>7+20/60+31/3600</f>
        <v>7.3419444444444437</v>
      </c>
      <c r="G250" s="111">
        <f>134+28/60+30/3600</f>
        <v>134.47499999999999</v>
      </c>
      <c r="H250" s="295" t="s">
        <v>1955</v>
      </c>
      <c r="I250" s="112">
        <v>1924</v>
      </c>
      <c r="J250" s="112">
        <v>2020</v>
      </c>
      <c r="K250" s="295" t="s">
        <v>1956</v>
      </c>
      <c r="L250" s="117">
        <v>874</v>
      </c>
      <c r="M250" s="118" t="s">
        <v>1957</v>
      </c>
      <c r="N250" s="196" t="s">
        <v>1958</v>
      </c>
      <c r="O250" s="196" t="s">
        <v>1959</v>
      </c>
      <c r="P250" s="196" t="s">
        <v>322</v>
      </c>
      <c r="Q250" s="118" t="s">
        <v>1522</v>
      </c>
      <c r="R250" s="154">
        <v>5</v>
      </c>
      <c r="S250" s="154">
        <v>4</v>
      </c>
      <c r="T250" s="154">
        <v>5</v>
      </c>
      <c r="U250" s="154">
        <v>5</v>
      </c>
      <c r="V250" s="154">
        <v>4</v>
      </c>
      <c r="W250" s="154">
        <v>5</v>
      </c>
      <c r="X250" s="154">
        <v>5</v>
      </c>
      <c r="Y250" s="154">
        <v>5</v>
      </c>
      <c r="Z250" s="154">
        <v>5</v>
      </c>
      <c r="AA250" s="154">
        <v>5</v>
      </c>
      <c r="AB250" s="296">
        <f t="shared" si="193"/>
        <v>94</v>
      </c>
      <c r="AC250" s="297">
        <f t="shared" si="224"/>
        <v>2185000</v>
      </c>
      <c r="AD250" s="301">
        <f t="shared" ref="AD250:AD251" si="234">AD$2*AC250</f>
        <v>10925</v>
      </c>
      <c r="AE250" s="298"/>
      <c r="AJ250" s="108">
        <f t="shared" si="225"/>
        <v>0</v>
      </c>
      <c r="AK250" s="108">
        <f t="shared" si="226"/>
        <v>0</v>
      </c>
      <c r="AL250" s="108">
        <f t="shared" si="227"/>
        <v>0</v>
      </c>
      <c r="AM250" s="108">
        <f t="shared" si="228"/>
        <v>0</v>
      </c>
      <c r="AN250" s="108">
        <f t="shared" si="229"/>
        <v>0</v>
      </c>
      <c r="AO250" s="108">
        <f t="shared" si="230"/>
        <v>0</v>
      </c>
      <c r="AP250" s="108">
        <f t="shared" si="231"/>
        <v>0</v>
      </c>
      <c r="AQ250" s="108">
        <f t="shared" si="232"/>
        <v>0</v>
      </c>
      <c r="AR250" s="108">
        <f t="shared" si="233"/>
        <v>0</v>
      </c>
      <c r="AX250" s="108">
        <f t="shared" si="173"/>
        <v>5</v>
      </c>
      <c r="AY250" s="108">
        <f t="shared" si="174"/>
        <v>4</v>
      </c>
      <c r="AZ250" s="108">
        <f t="shared" si="175"/>
        <v>5</v>
      </c>
      <c r="BA250" s="108">
        <f t="shared" si="176"/>
        <v>5</v>
      </c>
      <c r="BB250" s="108">
        <f t="shared" si="177"/>
        <v>4</v>
      </c>
      <c r="BC250" s="108">
        <f t="shared" si="178"/>
        <v>5</v>
      </c>
      <c r="BD250" s="108">
        <f t="shared" si="179"/>
        <v>5</v>
      </c>
      <c r="BE250" s="108">
        <f t="shared" si="180"/>
        <v>5</v>
      </c>
      <c r="BF250" s="108">
        <f t="shared" si="181"/>
        <v>5</v>
      </c>
      <c r="BG250" s="108">
        <f t="shared" si="182"/>
        <v>5</v>
      </c>
      <c r="BH250" s="108">
        <f t="shared" si="195"/>
        <v>94</v>
      </c>
      <c r="BJ250" s="108">
        <f t="shared" si="183"/>
        <v>5</v>
      </c>
      <c r="BK250" s="108">
        <f t="shared" si="184"/>
        <v>5</v>
      </c>
      <c r="BL250" s="108">
        <f t="shared" si="185"/>
        <v>5</v>
      </c>
      <c r="BM250" s="108">
        <f t="shared" si="186"/>
        <v>5</v>
      </c>
      <c r="BN250" s="108">
        <f t="shared" si="187"/>
        <v>5</v>
      </c>
      <c r="BO250" s="108">
        <f t="shared" si="188"/>
        <v>5</v>
      </c>
      <c r="BP250" s="108">
        <f t="shared" si="189"/>
        <v>5</v>
      </c>
      <c r="BQ250" s="108">
        <f t="shared" si="190"/>
        <v>5</v>
      </c>
      <c r="BR250" s="108">
        <f t="shared" si="191"/>
        <v>5</v>
      </c>
      <c r="BS250" s="108">
        <f t="shared" si="192"/>
        <v>5</v>
      </c>
      <c r="BT250" s="108">
        <f t="shared" si="196"/>
        <v>100</v>
      </c>
    </row>
    <row r="251" spans="1:72" ht="25" customHeight="1" x14ac:dyDescent="0.3">
      <c r="A251" s="185"/>
      <c r="B251" s="116" t="s">
        <v>1960</v>
      </c>
      <c r="C251" s="126" t="s">
        <v>1961</v>
      </c>
      <c r="D251" s="126" t="s">
        <v>1962</v>
      </c>
      <c r="E251" s="116" t="s">
        <v>273</v>
      </c>
      <c r="F251" s="111">
        <v>7.5198</v>
      </c>
      <c r="G251" s="111">
        <v>134.55959999999999</v>
      </c>
      <c r="H251" s="295" t="s">
        <v>1963</v>
      </c>
      <c r="I251" s="112">
        <v>2017</v>
      </c>
      <c r="J251" s="112" t="s">
        <v>1577</v>
      </c>
      <c r="K251" s="295" t="s">
        <v>1577</v>
      </c>
      <c r="L251" s="117">
        <v>400</v>
      </c>
      <c r="M251" s="118" t="s">
        <v>1964</v>
      </c>
      <c r="N251" s="196" t="s">
        <v>159</v>
      </c>
      <c r="O251" s="196" t="s">
        <v>1965</v>
      </c>
      <c r="P251" s="196" t="s">
        <v>1966</v>
      </c>
      <c r="Q251" s="118" t="s">
        <v>1967</v>
      </c>
      <c r="R251" s="154">
        <v>5</v>
      </c>
      <c r="S251" s="154">
        <v>5</v>
      </c>
      <c r="T251" s="154">
        <v>5</v>
      </c>
      <c r="U251" s="154">
        <v>5</v>
      </c>
      <c r="V251" s="154">
        <v>5</v>
      </c>
      <c r="W251" s="154">
        <v>5</v>
      </c>
      <c r="X251" s="154">
        <v>5</v>
      </c>
      <c r="Y251" s="154">
        <v>5</v>
      </c>
      <c r="Z251" s="154">
        <v>5</v>
      </c>
      <c r="AA251" s="154">
        <v>5</v>
      </c>
      <c r="AB251" s="296">
        <f t="shared" si="193"/>
        <v>100</v>
      </c>
      <c r="AC251" s="297">
        <f t="shared" si="224"/>
        <v>1000000</v>
      </c>
      <c r="AD251" s="301">
        <f t="shared" si="234"/>
        <v>5000</v>
      </c>
      <c r="AE251" s="298"/>
      <c r="AJ251" s="108">
        <f t="shared" si="225"/>
        <v>0</v>
      </c>
      <c r="AK251" s="108">
        <f t="shared" si="226"/>
        <v>0</v>
      </c>
      <c r="AL251" s="108">
        <f t="shared" si="227"/>
        <v>0</v>
      </c>
      <c r="AM251" s="108">
        <f t="shared" si="228"/>
        <v>0</v>
      </c>
      <c r="AN251" s="108">
        <f t="shared" si="229"/>
        <v>0</v>
      </c>
      <c r="AO251" s="108">
        <f t="shared" si="230"/>
        <v>0</v>
      </c>
      <c r="AP251" s="108">
        <f t="shared" si="231"/>
        <v>0</v>
      </c>
      <c r="AQ251" s="108">
        <f t="shared" si="232"/>
        <v>0</v>
      </c>
      <c r="AR251" s="108">
        <f t="shared" si="233"/>
        <v>0</v>
      </c>
      <c r="AX251" s="108">
        <f t="shared" si="173"/>
        <v>5</v>
      </c>
      <c r="AY251" s="108">
        <f t="shared" si="174"/>
        <v>5</v>
      </c>
      <c r="AZ251" s="108">
        <f t="shared" si="175"/>
        <v>5</v>
      </c>
      <c r="BA251" s="108">
        <f t="shared" si="176"/>
        <v>5</v>
      </c>
      <c r="BB251" s="108">
        <f t="shared" si="177"/>
        <v>5</v>
      </c>
      <c r="BC251" s="108">
        <f t="shared" si="178"/>
        <v>5</v>
      </c>
      <c r="BD251" s="108">
        <f t="shared" si="179"/>
        <v>5</v>
      </c>
      <c r="BE251" s="108">
        <f t="shared" si="180"/>
        <v>5</v>
      </c>
      <c r="BF251" s="108">
        <f t="shared" si="181"/>
        <v>5</v>
      </c>
      <c r="BG251" s="108">
        <f t="shared" si="182"/>
        <v>5</v>
      </c>
      <c r="BH251" s="108">
        <f t="shared" si="195"/>
        <v>100</v>
      </c>
      <c r="BJ251" s="108">
        <f t="shared" si="183"/>
        <v>5</v>
      </c>
      <c r="BK251" s="108">
        <f t="shared" si="184"/>
        <v>5</v>
      </c>
      <c r="BL251" s="108">
        <f t="shared" si="185"/>
        <v>5</v>
      </c>
      <c r="BM251" s="108">
        <f t="shared" si="186"/>
        <v>5</v>
      </c>
      <c r="BN251" s="108">
        <f t="shared" si="187"/>
        <v>5</v>
      </c>
      <c r="BO251" s="108">
        <f t="shared" si="188"/>
        <v>5</v>
      </c>
      <c r="BP251" s="108">
        <f t="shared" si="189"/>
        <v>5</v>
      </c>
      <c r="BQ251" s="108">
        <f t="shared" si="190"/>
        <v>5</v>
      </c>
      <c r="BR251" s="108">
        <f t="shared" si="191"/>
        <v>5</v>
      </c>
      <c r="BS251" s="108">
        <f t="shared" si="192"/>
        <v>5</v>
      </c>
      <c r="BT251" s="108">
        <f t="shared" si="196"/>
        <v>100</v>
      </c>
    </row>
    <row r="252" spans="1:72" ht="25" customHeight="1" x14ac:dyDescent="0.3">
      <c r="A252" s="185"/>
      <c r="B252" s="116" t="s">
        <v>1484</v>
      </c>
      <c r="C252" s="126" t="s">
        <v>1389</v>
      </c>
      <c r="D252" s="124" t="s">
        <v>1390</v>
      </c>
      <c r="E252" s="116" t="s">
        <v>1391</v>
      </c>
      <c r="F252" s="111">
        <v>7.5012559000000003</v>
      </c>
      <c r="G252" s="111">
        <v>134.62634940000001</v>
      </c>
      <c r="H252" s="295" t="s">
        <v>1392</v>
      </c>
      <c r="I252" s="112">
        <v>2003</v>
      </c>
      <c r="J252" s="112" t="s">
        <v>311</v>
      </c>
      <c r="K252" s="295" t="s">
        <v>311</v>
      </c>
      <c r="L252" s="183">
        <v>3260</v>
      </c>
      <c r="M252" s="118" t="s">
        <v>308</v>
      </c>
      <c r="N252" s="118" t="s">
        <v>298</v>
      </c>
      <c r="O252" s="118" t="s">
        <v>329</v>
      </c>
      <c r="P252" s="196" t="s">
        <v>328</v>
      </c>
      <c r="Q252" s="118" t="s">
        <v>353</v>
      </c>
      <c r="R252" s="154">
        <v>5</v>
      </c>
      <c r="S252" s="154">
        <v>5</v>
      </c>
      <c r="T252" s="154">
        <v>5</v>
      </c>
      <c r="U252" s="154">
        <v>5</v>
      </c>
      <c r="V252" s="154">
        <v>5</v>
      </c>
      <c r="W252" s="154">
        <v>5</v>
      </c>
      <c r="X252" s="154">
        <v>5</v>
      </c>
      <c r="Y252" s="154">
        <v>5</v>
      </c>
      <c r="Z252" s="154">
        <v>5</v>
      </c>
      <c r="AA252" s="154">
        <v>5</v>
      </c>
      <c r="AB252" s="296">
        <f t="shared" si="193"/>
        <v>100</v>
      </c>
      <c r="AC252" s="297">
        <f t="shared" si="224"/>
        <v>8150000</v>
      </c>
      <c r="AD252" s="301">
        <f t="shared" ref="AD252:AD259" si="235">AD$2*AC252</f>
        <v>40750</v>
      </c>
      <c r="AE252" s="298"/>
      <c r="AJ252" s="108">
        <f t="shared" si="225"/>
        <v>0</v>
      </c>
      <c r="AK252" s="108">
        <f t="shared" si="226"/>
        <v>0</v>
      </c>
      <c r="AL252" s="108">
        <f t="shared" si="227"/>
        <v>0</v>
      </c>
      <c r="AM252" s="108">
        <f t="shared" si="228"/>
        <v>0</v>
      </c>
      <c r="AN252" s="108">
        <f t="shared" si="229"/>
        <v>0</v>
      </c>
      <c r="AO252" s="108">
        <f t="shared" si="230"/>
        <v>0</v>
      </c>
      <c r="AP252" s="108">
        <f t="shared" si="231"/>
        <v>0</v>
      </c>
      <c r="AQ252" s="108">
        <f t="shared" si="232"/>
        <v>0</v>
      </c>
      <c r="AR252" s="108">
        <f t="shared" si="233"/>
        <v>0</v>
      </c>
      <c r="AX252" s="108">
        <f t="shared" si="173"/>
        <v>5</v>
      </c>
      <c r="AY252" s="108">
        <f t="shared" si="174"/>
        <v>5</v>
      </c>
      <c r="AZ252" s="108">
        <f t="shared" si="175"/>
        <v>5</v>
      </c>
      <c r="BA252" s="108">
        <f t="shared" si="176"/>
        <v>5</v>
      </c>
      <c r="BB252" s="108">
        <f t="shared" si="177"/>
        <v>5</v>
      </c>
      <c r="BC252" s="108">
        <f t="shared" si="178"/>
        <v>5</v>
      </c>
      <c r="BD252" s="108">
        <f t="shared" si="179"/>
        <v>5</v>
      </c>
      <c r="BE252" s="108">
        <f t="shared" si="180"/>
        <v>5</v>
      </c>
      <c r="BF252" s="108">
        <f t="shared" si="181"/>
        <v>5</v>
      </c>
      <c r="BG252" s="108">
        <f t="shared" si="182"/>
        <v>5</v>
      </c>
      <c r="BH252" s="108">
        <f t="shared" si="195"/>
        <v>100</v>
      </c>
      <c r="BJ252" s="108">
        <f t="shared" si="183"/>
        <v>5</v>
      </c>
      <c r="BK252" s="108">
        <f t="shared" si="184"/>
        <v>5</v>
      </c>
      <c r="BL252" s="108">
        <f t="shared" si="185"/>
        <v>5</v>
      </c>
      <c r="BM252" s="108">
        <f t="shared" si="186"/>
        <v>5</v>
      </c>
      <c r="BN252" s="108">
        <f t="shared" si="187"/>
        <v>5</v>
      </c>
      <c r="BO252" s="108">
        <f t="shared" si="188"/>
        <v>5</v>
      </c>
      <c r="BP252" s="108">
        <f t="shared" si="189"/>
        <v>5</v>
      </c>
      <c r="BQ252" s="108">
        <f t="shared" si="190"/>
        <v>5</v>
      </c>
      <c r="BR252" s="108">
        <f t="shared" si="191"/>
        <v>5</v>
      </c>
      <c r="BS252" s="108">
        <f t="shared" si="192"/>
        <v>5</v>
      </c>
      <c r="BT252" s="108">
        <f t="shared" si="196"/>
        <v>100</v>
      </c>
    </row>
    <row r="253" spans="1:72" ht="25" customHeight="1" x14ac:dyDescent="0.3">
      <c r="A253" s="185"/>
      <c r="B253" s="116" t="s">
        <v>1485</v>
      </c>
      <c r="C253" s="126" t="s">
        <v>1393</v>
      </c>
      <c r="D253" s="124" t="s">
        <v>1394</v>
      </c>
      <c r="E253" s="116" t="s">
        <v>1391</v>
      </c>
      <c r="F253" s="111">
        <v>7.5012559000000003</v>
      </c>
      <c r="G253" s="111">
        <v>134.62634940000001</v>
      </c>
      <c r="H253" s="295" t="s">
        <v>1392</v>
      </c>
      <c r="I253" s="112">
        <v>2003</v>
      </c>
      <c r="J253" s="112" t="s">
        <v>311</v>
      </c>
      <c r="K253" s="295" t="s">
        <v>311</v>
      </c>
      <c r="L253" s="183">
        <v>4900</v>
      </c>
      <c r="M253" s="118" t="s">
        <v>308</v>
      </c>
      <c r="N253" s="118" t="s">
        <v>298</v>
      </c>
      <c r="O253" s="118" t="s">
        <v>329</v>
      </c>
      <c r="P253" s="196" t="s">
        <v>328</v>
      </c>
      <c r="Q253" s="118" t="s">
        <v>353</v>
      </c>
      <c r="R253" s="154">
        <v>5</v>
      </c>
      <c r="S253" s="154">
        <v>5</v>
      </c>
      <c r="T253" s="154">
        <v>5</v>
      </c>
      <c r="U253" s="154">
        <v>5</v>
      </c>
      <c r="V253" s="154">
        <v>5</v>
      </c>
      <c r="W253" s="154">
        <v>5</v>
      </c>
      <c r="X253" s="154">
        <v>5</v>
      </c>
      <c r="Y253" s="154">
        <v>5</v>
      </c>
      <c r="Z253" s="154">
        <v>5</v>
      </c>
      <c r="AA253" s="154">
        <v>5</v>
      </c>
      <c r="AB253" s="296">
        <f t="shared" si="193"/>
        <v>100</v>
      </c>
      <c r="AC253" s="297">
        <f t="shared" si="224"/>
        <v>12250000</v>
      </c>
      <c r="AD253" s="301">
        <f t="shared" si="235"/>
        <v>61250</v>
      </c>
      <c r="AE253" s="298"/>
      <c r="AJ253" s="108">
        <f t="shared" si="225"/>
        <v>0</v>
      </c>
      <c r="AK253" s="108">
        <f t="shared" si="226"/>
        <v>0</v>
      </c>
      <c r="AL253" s="108">
        <f t="shared" si="227"/>
        <v>0</v>
      </c>
      <c r="AM253" s="108">
        <f t="shared" si="228"/>
        <v>0</v>
      </c>
      <c r="AN253" s="108">
        <f t="shared" si="229"/>
        <v>0</v>
      </c>
      <c r="AO253" s="108">
        <f t="shared" si="230"/>
        <v>0</v>
      </c>
      <c r="AP253" s="108">
        <f t="shared" si="231"/>
        <v>0</v>
      </c>
      <c r="AQ253" s="108">
        <f t="shared" si="232"/>
        <v>0</v>
      </c>
      <c r="AR253" s="108">
        <f t="shared" si="233"/>
        <v>0</v>
      </c>
      <c r="AX253" s="108">
        <f t="shared" si="173"/>
        <v>5</v>
      </c>
      <c r="AY253" s="108">
        <f t="shared" si="174"/>
        <v>5</v>
      </c>
      <c r="AZ253" s="108">
        <f t="shared" si="175"/>
        <v>5</v>
      </c>
      <c r="BA253" s="108">
        <f t="shared" si="176"/>
        <v>5</v>
      </c>
      <c r="BB253" s="108">
        <f t="shared" si="177"/>
        <v>5</v>
      </c>
      <c r="BC253" s="108">
        <f t="shared" si="178"/>
        <v>5</v>
      </c>
      <c r="BD253" s="108">
        <f t="shared" si="179"/>
        <v>5</v>
      </c>
      <c r="BE253" s="108">
        <f t="shared" si="180"/>
        <v>5</v>
      </c>
      <c r="BF253" s="108">
        <f t="shared" si="181"/>
        <v>5</v>
      </c>
      <c r="BG253" s="108">
        <f t="shared" si="182"/>
        <v>5</v>
      </c>
      <c r="BH253" s="108">
        <f t="shared" si="195"/>
        <v>100</v>
      </c>
      <c r="BJ253" s="108">
        <f t="shared" si="183"/>
        <v>5</v>
      </c>
      <c r="BK253" s="108">
        <f t="shared" si="184"/>
        <v>5</v>
      </c>
      <c r="BL253" s="108">
        <f t="shared" si="185"/>
        <v>5</v>
      </c>
      <c r="BM253" s="108">
        <f t="shared" si="186"/>
        <v>5</v>
      </c>
      <c r="BN253" s="108">
        <f t="shared" si="187"/>
        <v>5</v>
      </c>
      <c r="BO253" s="108">
        <f t="shared" si="188"/>
        <v>5</v>
      </c>
      <c r="BP253" s="108">
        <f t="shared" si="189"/>
        <v>5</v>
      </c>
      <c r="BQ253" s="108">
        <f t="shared" si="190"/>
        <v>5</v>
      </c>
      <c r="BR253" s="108">
        <f t="shared" si="191"/>
        <v>5</v>
      </c>
      <c r="BS253" s="108">
        <f t="shared" si="192"/>
        <v>5</v>
      </c>
      <c r="BT253" s="108">
        <f t="shared" si="196"/>
        <v>100</v>
      </c>
    </row>
    <row r="254" spans="1:72" ht="25" customHeight="1" x14ac:dyDescent="0.3">
      <c r="A254" s="185"/>
      <c r="B254" s="116" t="s">
        <v>1486</v>
      </c>
      <c r="C254" s="126" t="s">
        <v>1395</v>
      </c>
      <c r="D254" s="124" t="s">
        <v>1396</v>
      </c>
      <c r="E254" s="116" t="s">
        <v>1391</v>
      </c>
      <c r="F254" s="111">
        <v>7.5012559000000003</v>
      </c>
      <c r="G254" s="111">
        <v>134.62634940000001</v>
      </c>
      <c r="H254" s="295" t="s">
        <v>1392</v>
      </c>
      <c r="I254" s="112">
        <v>2003</v>
      </c>
      <c r="J254" s="112" t="s">
        <v>311</v>
      </c>
      <c r="K254" s="295" t="s">
        <v>311</v>
      </c>
      <c r="L254" s="183">
        <v>4850</v>
      </c>
      <c r="M254" s="118" t="s">
        <v>308</v>
      </c>
      <c r="N254" s="118" t="s">
        <v>298</v>
      </c>
      <c r="O254" s="118" t="s">
        <v>329</v>
      </c>
      <c r="P254" s="196" t="s">
        <v>328</v>
      </c>
      <c r="Q254" s="118" t="s">
        <v>353</v>
      </c>
      <c r="R254" s="154">
        <v>5</v>
      </c>
      <c r="S254" s="154">
        <v>5</v>
      </c>
      <c r="T254" s="154">
        <v>4</v>
      </c>
      <c r="U254" s="154">
        <v>5</v>
      </c>
      <c r="V254" s="154">
        <v>5</v>
      </c>
      <c r="W254" s="154">
        <v>5</v>
      </c>
      <c r="X254" s="154">
        <v>5</v>
      </c>
      <c r="Y254" s="154">
        <v>5</v>
      </c>
      <c r="Z254" s="154">
        <v>5</v>
      </c>
      <c r="AA254" s="154">
        <v>5</v>
      </c>
      <c r="AB254" s="296">
        <f t="shared" si="193"/>
        <v>98</v>
      </c>
      <c r="AC254" s="297">
        <f t="shared" si="224"/>
        <v>12125000</v>
      </c>
      <c r="AD254" s="301">
        <f t="shared" si="235"/>
        <v>60625</v>
      </c>
      <c r="AE254" s="298"/>
      <c r="AJ254" s="108">
        <f t="shared" si="225"/>
        <v>0</v>
      </c>
      <c r="AK254" s="108">
        <f t="shared" si="226"/>
        <v>0</v>
      </c>
      <c r="AL254" s="108">
        <f t="shared" si="227"/>
        <v>0</v>
      </c>
      <c r="AM254" s="108">
        <f t="shared" si="228"/>
        <v>0</v>
      </c>
      <c r="AN254" s="108">
        <f t="shared" si="229"/>
        <v>0</v>
      </c>
      <c r="AO254" s="108">
        <f t="shared" si="230"/>
        <v>0</v>
      </c>
      <c r="AP254" s="108">
        <f t="shared" si="231"/>
        <v>0</v>
      </c>
      <c r="AQ254" s="108">
        <f t="shared" si="232"/>
        <v>0</v>
      </c>
      <c r="AR254" s="108">
        <f t="shared" si="233"/>
        <v>0</v>
      </c>
      <c r="AX254" s="108">
        <f t="shared" si="173"/>
        <v>5</v>
      </c>
      <c r="AY254" s="108">
        <f t="shared" si="174"/>
        <v>5</v>
      </c>
      <c r="AZ254" s="108">
        <f t="shared" si="175"/>
        <v>4</v>
      </c>
      <c r="BA254" s="108">
        <f t="shared" si="176"/>
        <v>5</v>
      </c>
      <c r="BB254" s="108">
        <f t="shared" si="177"/>
        <v>5</v>
      </c>
      <c r="BC254" s="108">
        <f t="shared" si="178"/>
        <v>5</v>
      </c>
      <c r="BD254" s="108">
        <f t="shared" si="179"/>
        <v>5</v>
      </c>
      <c r="BE254" s="108">
        <f t="shared" si="180"/>
        <v>5</v>
      </c>
      <c r="BF254" s="108">
        <f t="shared" si="181"/>
        <v>5</v>
      </c>
      <c r="BG254" s="108">
        <f t="shared" si="182"/>
        <v>5</v>
      </c>
      <c r="BH254" s="108">
        <f t="shared" si="195"/>
        <v>98</v>
      </c>
      <c r="BJ254" s="108">
        <f t="shared" si="183"/>
        <v>5</v>
      </c>
      <c r="BK254" s="108">
        <f t="shared" si="184"/>
        <v>5</v>
      </c>
      <c r="BL254" s="108">
        <f t="shared" si="185"/>
        <v>5</v>
      </c>
      <c r="BM254" s="108">
        <f t="shared" si="186"/>
        <v>5</v>
      </c>
      <c r="BN254" s="108">
        <f t="shared" si="187"/>
        <v>5</v>
      </c>
      <c r="BO254" s="108">
        <f t="shared" si="188"/>
        <v>5</v>
      </c>
      <c r="BP254" s="108">
        <f t="shared" si="189"/>
        <v>5</v>
      </c>
      <c r="BQ254" s="108">
        <f t="shared" si="190"/>
        <v>5</v>
      </c>
      <c r="BR254" s="108">
        <f t="shared" si="191"/>
        <v>5</v>
      </c>
      <c r="BS254" s="108">
        <f t="shared" si="192"/>
        <v>5</v>
      </c>
      <c r="BT254" s="108">
        <f t="shared" si="196"/>
        <v>100</v>
      </c>
    </row>
    <row r="255" spans="1:72" ht="25" customHeight="1" x14ac:dyDescent="0.3">
      <c r="A255" s="185"/>
      <c r="B255" s="116" t="s">
        <v>1487</v>
      </c>
      <c r="C255" s="126" t="s">
        <v>1490</v>
      </c>
      <c r="D255" s="124" t="s">
        <v>1396</v>
      </c>
      <c r="E255" s="116" t="s">
        <v>1391</v>
      </c>
      <c r="F255" s="111">
        <f>7+30/60+2/3600</f>
        <v>7.5005555555555556</v>
      </c>
      <c r="G255" s="111">
        <f>134+37/60+23/3600</f>
        <v>134.62305555555557</v>
      </c>
      <c r="H255" s="295" t="s">
        <v>1491</v>
      </c>
      <c r="I255" s="112">
        <v>2003</v>
      </c>
      <c r="J255" s="112" t="s">
        <v>311</v>
      </c>
      <c r="K255" s="295" t="s">
        <v>311</v>
      </c>
      <c r="L255" s="183">
        <v>750</v>
      </c>
      <c r="M255" s="118" t="s">
        <v>308</v>
      </c>
      <c r="N255" s="118" t="s">
        <v>298</v>
      </c>
      <c r="O255" s="118" t="s">
        <v>329</v>
      </c>
      <c r="P255" s="196" t="s">
        <v>328</v>
      </c>
      <c r="Q255" s="118" t="s">
        <v>353</v>
      </c>
      <c r="R255" s="154">
        <v>5</v>
      </c>
      <c r="S255" s="154">
        <v>5</v>
      </c>
      <c r="T255" s="154">
        <v>5</v>
      </c>
      <c r="U255" s="154">
        <v>5</v>
      </c>
      <c r="V255" s="154">
        <v>5</v>
      </c>
      <c r="W255" s="154">
        <v>5</v>
      </c>
      <c r="X255" s="154">
        <v>5</v>
      </c>
      <c r="Y255" s="154">
        <v>5</v>
      </c>
      <c r="Z255" s="154">
        <v>5</v>
      </c>
      <c r="AA255" s="154">
        <v>5</v>
      </c>
      <c r="AB255" s="296">
        <f t="shared" si="193"/>
        <v>100</v>
      </c>
      <c r="AC255" s="297">
        <f t="shared" si="224"/>
        <v>1875000</v>
      </c>
      <c r="AD255" s="301">
        <f t="shared" si="235"/>
        <v>9375</v>
      </c>
      <c r="AE255" s="298"/>
      <c r="AJ255" s="108">
        <f t="shared" si="225"/>
        <v>0</v>
      </c>
      <c r="AK255" s="108">
        <f t="shared" si="226"/>
        <v>0</v>
      </c>
      <c r="AL255" s="108">
        <f t="shared" si="227"/>
        <v>0</v>
      </c>
      <c r="AM255" s="108">
        <f t="shared" si="228"/>
        <v>0</v>
      </c>
      <c r="AN255" s="108">
        <f t="shared" si="229"/>
        <v>0</v>
      </c>
      <c r="AO255" s="108">
        <f t="shared" si="230"/>
        <v>0</v>
      </c>
      <c r="AP255" s="108">
        <f t="shared" si="231"/>
        <v>0</v>
      </c>
      <c r="AQ255" s="108">
        <f t="shared" si="232"/>
        <v>0</v>
      </c>
      <c r="AR255" s="108">
        <f t="shared" si="233"/>
        <v>0</v>
      </c>
      <c r="AX255" s="108">
        <f t="shared" si="173"/>
        <v>5</v>
      </c>
      <c r="AY255" s="108">
        <f t="shared" si="174"/>
        <v>5</v>
      </c>
      <c r="AZ255" s="108">
        <f t="shared" si="175"/>
        <v>5</v>
      </c>
      <c r="BA255" s="108">
        <f t="shared" si="176"/>
        <v>5</v>
      </c>
      <c r="BB255" s="108">
        <f t="shared" si="177"/>
        <v>5</v>
      </c>
      <c r="BC255" s="108">
        <f t="shared" si="178"/>
        <v>5</v>
      </c>
      <c r="BD255" s="108">
        <f t="shared" si="179"/>
        <v>5</v>
      </c>
      <c r="BE255" s="108">
        <f t="shared" si="180"/>
        <v>5</v>
      </c>
      <c r="BF255" s="108">
        <f t="shared" si="181"/>
        <v>5</v>
      </c>
      <c r="BG255" s="108">
        <f t="shared" si="182"/>
        <v>5</v>
      </c>
      <c r="BH255" s="108">
        <f t="shared" si="195"/>
        <v>100</v>
      </c>
      <c r="BJ255" s="108">
        <f t="shared" si="183"/>
        <v>5</v>
      </c>
      <c r="BK255" s="108">
        <f t="shared" si="184"/>
        <v>5</v>
      </c>
      <c r="BL255" s="108">
        <f t="shared" si="185"/>
        <v>5</v>
      </c>
      <c r="BM255" s="108">
        <f t="shared" si="186"/>
        <v>5</v>
      </c>
      <c r="BN255" s="108">
        <f t="shared" si="187"/>
        <v>5</v>
      </c>
      <c r="BO255" s="108">
        <f t="shared" si="188"/>
        <v>5</v>
      </c>
      <c r="BP255" s="108">
        <f t="shared" si="189"/>
        <v>5</v>
      </c>
      <c r="BQ255" s="108">
        <f t="shared" si="190"/>
        <v>5</v>
      </c>
      <c r="BR255" s="108">
        <f t="shared" si="191"/>
        <v>5</v>
      </c>
      <c r="BS255" s="108">
        <f t="shared" si="192"/>
        <v>5</v>
      </c>
      <c r="BT255" s="108">
        <f t="shared" si="196"/>
        <v>100</v>
      </c>
    </row>
    <row r="256" spans="1:72" ht="25" customHeight="1" x14ac:dyDescent="0.3">
      <c r="A256" s="185"/>
      <c r="B256" s="116" t="s">
        <v>1489</v>
      </c>
      <c r="C256" s="126" t="s">
        <v>1488</v>
      </c>
      <c r="D256" s="124" t="s">
        <v>1396</v>
      </c>
      <c r="E256" s="116" t="s">
        <v>1391</v>
      </c>
      <c r="F256" s="111">
        <f>7+32/60+16/3600</f>
        <v>7.5377777777777775</v>
      </c>
      <c r="G256" s="111">
        <f>134+37/60+32/3600</f>
        <v>134.62555555555556</v>
      </c>
      <c r="H256" s="295" t="s">
        <v>331</v>
      </c>
      <c r="I256" s="112">
        <v>2003</v>
      </c>
      <c r="J256" s="112" t="s">
        <v>311</v>
      </c>
      <c r="K256" s="295" t="s">
        <v>311</v>
      </c>
      <c r="L256" s="183">
        <v>290</v>
      </c>
      <c r="M256" s="118" t="s">
        <v>308</v>
      </c>
      <c r="N256" s="118" t="s">
        <v>298</v>
      </c>
      <c r="O256" s="118" t="s">
        <v>329</v>
      </c>
      <c r="P256" s="196" t="s">
        <v>298</v>
      </c>
      <c r="Q256" s="118" t="s">
        <v>353</v>
      </c>
      <c r="R256" s="154">
        <v>5</v>
      </c>
      <c r="S256" s="154">
        <v>5</v>
      </c>
      <c r="T256" s="154">
        <v>4</v>
      </c>
      <c r="U256" s="154">
        <v>4</v>
      </c>
      <c r="V256" s="154">
        <v>5</v>
      </c>
      <c r="W256" s="154">
        <v>4</v>
      </c>
      <c r="X256" s="154">
        <v>5</v>
      </c>
      <c r="Y256" s="154" t="s">
        <v>92</v>
      </c>
      <c r="Z256" s="154">
        <v>5</v>
      </c>
      <c r="AA256" s="154">
        <v>5</v>
      </c>
      <c r="AB256" s="296">
        <f t="shared" si="193"/>
        <v>95.78947368421052</v>
      </c>
      <c r="AC256" s="297">
        <f t="shared" si="224"/>
        <v>725000</v>
      </c>
      <c r="AD256" s="301">
        <f t="shared" si="235"/>
        <v>3625</v>
      </c>
      <c r="AE256" s="298"/>
      <c r="AJ256" s="108">
        <f t="shared" si="225"/>
        <v>0</v>
      </c>
      <c r="AK256" s="108">
        <f t="shared" si="226"/>
        <v>0</v>
      </c>
      <c r="AL256" s="108">
        <f t="shared" si="227"/>
        <v>0</v>
      </c>
      <c r="AM256" s="108">
        <f t="shared" si="228"/>
        <v>0</v>
      </c>
      <c r="AN256" s="108">
        <f t="shared" si="229"/>
        <v>0</v>
      </c>
      <c r="AO256" s="108">
        <f t="shared" si="230"/>
        <v>0</v>
      </c>
      <c r="AP256" s="108">
        <f t="shared" si="231"/>
        <v>0</v>
      </c>
      <c r="AQ256" s="108">
        <f t="shared" si="232"/>
        <v>0</v>
      </c>
      <c r="AR256" s="108">
        <f t="shared" si="233"/>
        <v>0</v>
      </c>
      <c r="AX256" s="108">
        <f t="shared" si="173"/>
        <v>5</v>
      </c>
      <c r="AY256" s="108">
        <f t="shared" si="174"/>
        <v>5</v>
      </c>
      <c r="AZ256" s="108">
        <f t="shared" si="175"/>
        <v>4</v>
      </c>
      <c r="BA256" s="108">
        <f t="shared" si="176"/>
        <v>4</v>
      </c>
      <c r="BB256" s="108">
        <f t="shared" si="177"/>
        <v>5</v>
      </c>
      <c r="BC256" s="108">
        <f t="shared" si="178"/>
        <v>4</v>
      </c>
      <c r="BD256" s="108">
        <f t="shared" si="179"/>
        <v>5</v>
      </c>
      <c r="BE256" s="108">
        <f t="shared" si="180"/>
        <v>0</v>
      </c>
      <c r="BF256" s="108">
        <f t="shared" si="181"/>
        <v>5</v>
      </c>
      <c r="BG256" s="108">
        <f t="shared" si="182"/>
        <v>5</v>
      </c>
      <c r="BH256" s="108">
        <f t="shared" si="195"/>
        <v>91</v>
      </c>
      <c r="BJ256" s="108">
        <f t="shared" si="183"/>
        <v>5</v>
      </c>
      <c r="BK256" s="108">
        <f t="shared" si="184"/>
        <v>5</v>
      </c>
      <c r="BL256" s="108">
        <f t="shared" si="185"/>
        <v>5</v>
      </c>
      <c r="BM256" s="108">
        <f t="shared" si="186"/>
        <v>5</v>
      </c>
      <c r="BN256" s="108">
        <f t="shared" si="187"/>
        <v>5</v>
      </c>
      <c r="BO256" s="108">
        <f t="shared" si="188"/>
        <v>5</v>
      </c>
      <c r="BP256" s="108">
        <f t="shared" si="189"/>
        <v>5</v>
      </c>
      <c r="BQ256" s="108">
        <f t="shared" si="190"/>
        <v>0</v>
      </c>
      <c r="BR256" s="108">
        <f t="shared" si="191"/>
        <v>5</v>
      </c>
      <c r="BS256" s="108">
        <f t="shared" si="192"/>
        <v>5</v>
      </c>
      <c r="BT256" s="108">
        <f t="shared" si="196"/>
        <v>95</v>
      </c>
    </row>
    <row r="257" spans="1:72" ht="25" customHeight="1" x14ac:dyDescent="0.3">
      <c r="A257" s="185"/>
      <c r="B257" s="116" t="s">
        <v>1549</v>
      </c>
      <c r="C257" s="126" t="s">
        <v>1551</v>
      </c>
      <c r="D257" s="124" t="s">
        <v>1550</v>
      </c>
      <c r="E257" s="116" t="s">
        <v>788</v>
      </c>
      <c r="F257" s="111">
        <f>7+20.47882/60</f>
        <v>7.3413136666666663</v>
      </c>
      <c r="G257" s="111">
        <f>134+28.189752/60</f>
        <v>134.46982919999999</v>
      </c>
      <c r="H257" s="295" t="s">
        <v>1613</v>
      </c>
      <c r="I257" s="112">
        <v>2014</v>
      </c>
      <c r="J257" s="112" t="s">
        <v>311</v>
      </c>
      <c r="K257" s="295" t="s">
        <v>311</v>
      </c>
      <c r="L257" s="117">
        <v>775</v>
      </c>
      <c r="M257" s="118" t="s">
        <v>308</v>
      </c>
      <c r="N257" s="118" t="s">
        <v>298</v>
      </c>
      <c r="O257" s="118" t="s">
        <v>329</v>
      </c>
      <c r="P257" s="196" t="s">
        <v>322</v>
      </c>
      <c r="Q257" s="118" t="s">
        <v>334</v>
      </c>
      <c r="R257" s="154">
        <v>3</v>
      </c>
      <c r="S257" s="154">
        <v>3</v>
      </c>
      <c r="T257" s="154">
        <v>4</v>
      </c>
      <c r="U257" s="154">
        <v>3</v>
      </c>
      <c r="V257" s="154">
        <v>3</v>
      </c>
      <c r="W257" s="154">
        <v>4</v>
      </c>
      <c r="X257" s="154">
        <v>4</v>
      </c>
      <c r="Y257" s="154">
        <v>3</v>
      </c>
      <c r="Z257" s="154">
        <v>3</v>
      </c>
      <c r="AA257" s="154">
        <v>4</v>
      </c>
      <c r="AB257" s="296">
        <f t="shared" si="193"/>
        <v>68</v>
      </c>
      <c r="AC257" s="297">
        <f t="shared" si="224"/>
        <v>1937500</v>
      </c>
      <c r="AD257" s="301">
        <f t="shared" si="235"/>
        <v>9687.5</v>
      </c>
      <c r="AE257" s="298"/>
      <c r="AJ257" s="108">
        <f t="shared" si="225"/>
        <v>0</v>
      </c>
      <c r="AK257" s="108">
        <f t="shared" si="226"/>
        <v>0</v>
      </c>
      <c r="AL257" s="108">
        <f t="shared" si="227"/>
        <v>0</v>
      </c>
      <c r="AM257" s="108">
        <f t="shared" si="228"/>
        <v>0</v>
      </c>
      <c r="AN257" s="108">
        <f t="shared" si="229"/>
        <v>0</v>
      </c>
      <c r="AO257" s="108">
        <f t="shared" si="230"/>
        <v>0</v>
      </c>
      <c r="AP257" s="108">
        <f t="shared" si="231"/>
        <v>0</v>
      </c>
      <c r="AQ257" s="108">
        <f t="shared" si="232"/>
        <v>0</v>
      </c>
      <c r="AR257" s="108">
        <f t="shared" si="233"/>
        <v>0</v>
      </c>
      <c r="AX257" s="108">
        <f t="shared" si="173"/>
        <v>3</v>
      </c>
      <c r="AY257" s="108">
        <f t="shared" si="174"/>
        <v>3</v>
      </c>
      <c r="AZ257" s="108">
        <f t="shared" si="175"/>
        <v>4</v>
      </c>
      <c r="BA257" s="108">
        <f t="shared" si="176"/>
        <v>3</v>
      </c>
      <c r="BB257" s="108">
        <f t="shared" si="177"/>
        <v>3</v>
      </c>
      <c r="BC257" s="108">
        <f t="shared" si="178"/>
        <v>4</v>
      </c>
      <c r="BD257" s="108">
        <f t="shared" si="179"/>
        <v>4</v>
      </c>
      <c r="BE257" s="108">
        <f t="shared" si="180"/>
        <v>3</v>
      </c>
      <c r="BF257" s="108">
        <f t="shared" si="181"/>
        <v>3</v>
      </c>
      <c r="BG257" s="108">
        <f t="shared" si="182"/>
        <v>4</v>
      </c>
      <c r="BH257" s="108">
        <f t="shared" si="195"/>
        <v>68</v>
      </c>
      <c r="BJ257" s="108">
        <f t="shared" si="183"/>
        <v>5</v>
      </c>
      <c r="BK257" s="108">
        <f t="shared" si="184"/>
        <v>5</v>
      </c>
      <c r="BL257" s="108">
        <f t="shared" si="185"/>
        <v>5</v>
      </c>
      <c r="BM257" s="108">
        <f t="shared" si="186"/>
        <v>5</v>
      </c>
      <c r="BN257" s="108">
        <f t="shared" si="187"/>
        <v>5</v>
      </c>
      <c r="BO257" s="108">
        <f t="shared" si="188"/>
        <v>5</v>
      </c>
      <c r="BP257" s="108">
        <f t="shared" si="189"/>
        <v>5</v>
      </c>
      <c r="BQ257" s="108">
        <f t="shared" si="190"/>
        <v>5</v>
      </c>
      <c r="BR257" s="108">
        <f t="shared" si="191"/>
        <v>5</v>
      </c>
      <c r="BS257" s="108">
        <f t="shared" si="192"/>
        <v>5</v>
      </c>
      <c r="BT257" s="108">
        <f t="shared" si="196"/>
        <v>100</v>
      </c>
    </row>
    <row r="258" spans="1:72" ht="25" customHeight="1" x14ac:dyDescent="0.3">
      <c r="A258" s="185"/>
      <c r="B258" s="116" t="s">
        <v>1552</v>
      </c>
      <c r="C258" s="126" t="s">
        <v>1553</v>
      </c>
      <c r="D258" s="124" t="s">
        <v>1550</v>
      </c>
      <c r="E258" s="116" t="s">
        <v>788</v>
      </c>
      <c r="F258" s="111">
        <f>7+20.474224/60</f>
        <v>7.3412370666666664</v>
      </c>
      <c r="G258" s="111">
        <f>134+28.195682/60</f>
        <v>134.46992803333333</v>
      </c>
      <c r="H258" s="295" t="s">
        <v>1613</v>
      </c>
      <c r="I258" s="112">
        <v>1995</v>
      </c>
      <c r="J258" s="112" t="s">
        <v>311</v>
      </c>
      <c r="K258" s="295" t="s">
        <v>311</v>
      </c>
      <c r="L258" s="117">
        <v>605</v>
      </c>
      <c r="M258" s="118" t="s">
        <v>308</v>
      </c>
      <c r="N258" s="118" t="s">
        <v>298</v>
      </c>
      <c r="O258" s="118" t="s">
        <v>329</v>
      </c>
      <c r="P258" s="196" t="s">
        <v>322</v>
      </c>
      <c r="Q258" s="118" t="s">
        <v>334</v>
      </c>
      <c r="R258" s="154">
        <v>4</v>
      </c>
      <c r="S258" s="154">
        <v>4</v>
      </c>
      <c r="T258" s="154">
        <v>4</v>
      </c>
      <c r="U258" s="154">
        <v>3</v>
      </c>
      <c r="V258" s="154">
        <v>3</v>
      </c>
      <c r="W258" s="154">
        <v>5</v>
      </c>
      <c r="X258" s="154">
        <v>2</v>
      </c>
      <c r="Y258" s="154">
        <v>5</v>
      </c>
      <c r="Z258" s="154">
        <v>4</v>
      </c>
      <c r="AA258" s="154">
        <v>4</v>
      </c>
      <c r="AB258" s="296">
        <f t="shared" si="193"/>
        <v>78</v>
      </c>
      <c r="AC258" s="297">
        <f t="shared" si="224"/>
        <v>1512500</v>
      </c>
      <c r="AD258" s="301">
        <f t="shared" si="235"/>
        <v>7562.5</v>
      </c>
      <c r="AE258" s="298"/>
      <c r="AJ258" s="108">
        <f t="shared" si="225"/>
        <v>0</v>
      </c>
      <c r="AK258" s="108">
        <f t="shared" si="226"/>
        <v>0</v>
      </c>
      <c r="AL258" s="108">
        <f t="shared" si="227"/>
        <v>0</v>
      </c>
      <c r="AM258" s="108">
        <f t="shared" si="228"/>
        <v>0</v>
      </c>
      <c r="AN258" s="108">
        <f t="shared" si="229"/>
        <v>0</v>
      </c>
      <c r="AO258" s="108">
        <f t="shared" si="230"/>
        <v>0</v>
      </c>
      <c r="AP258" s="108">
        <f t="shared" si="231"/>
        <v>605</v>
      </c>
      <c r="AQ258" s="108">
        <f t="shared" si="232"/>
        <v>0</v>
      </c>
      <c r="AR258" s="108">
        <f t="shared" si="233"/>
        <v>0</v>
      </c>
      <c r="AX258" s="108">
        <f t="shared" si="173"/>
        <v>4</v>
      </c>
      <c r="AY258" s="108">
        <f t="shared" si="174"/>
        <v>4</v>
      </c>
      <c r="AZ258" s="108">
        <f t="shared" si="175"/>
        <v>4</v>
      </c>
      <c r="BA258" s="108">
        <f t="shared" si="176"/>
        <v>3</v>
      </c>
      <c r="BB258" s="108">
        <f t="shared" si="177"/>
        <v>3</v>
      </c>
      <c r="BC258" s="108">
        <f t="shared" si="178"/>
        <v>5</v>
      </c>
      <c r="BD258" s="108">
        <f t="shared" si="179"/>
        <v>2</v>
      </c>
      <c r="BE258" s="108">
        <f t="shared" si="180"/>
        <v>5</v>
      </c>
      <c r="BF258" s="108">
        <f t="shared" si="181"/>
        <v>4</v>
      </c>
      <c r="BG258" s="108">
        <f t="shared" si="182"/>
        <v>4</v>
      </c>
      <c r="BH258" s="108">
        <f t="shared" si="195"/>
        <v>78</v>
      </c>
      <c r="BJ258" s="108">
        <f t="shared" si="183"/>
        <v>5</v>
      </c>
      <c r="BK258" s="108">
        <f t="shared" si="184"/>
        <v>5</v>
      </c>
      <c r="BL258" s="108">
        <f t="shared" si="185"/>
        <v>5</v>
      </c>
      <c r="BM258" s="108">
        <f t="shared" si="186"/>
        <v>5</v>
      </c>
      <c r="BN258" s="108">
        <f t="shared" si="187"/>
        <v>5</v>
      </c>
      <c r="BO258" s="108">
        <f t="shared" si="188"/>
        <v>5</v>
      </c>
      <c r="BP258" s="108">
        <f t="shared" si="189"/>
        <v>5</v>
      </c>
      <c r="BQ258" s="108">
        <f t="shared" si="190"/>
        <v>5</v>
      </c>
      <c r="BR258" s="108">
        <f t="shared" si="191"/>
        <v>5</v>
      </c>
      <c r="BS258" s="108">
        <f t="shared" si="192"/>
        <v>5</v>
      </c>
      <c r="BT258" s="108">
        <f t="shared" si="196"/>
        <v>100</v>
      </c>
    </row>
    <row r="259" spans="1:72" ht="25" customHeight="1" x14ac:dyDescent="0.3">
      <c r="A259" s="185"/>
      <c r="B259" s="116" t="s">
        <v>1554</v>
      </c>
      <c r="C259" s="126" t="s">
        <v>1555</v>
      </c>
      <c r="D259" s="124" t="s">
        <v>1550</v>
      </c>
      <c r="E259" s="116" t="s">
        <v>788</v>
      </c>
      <c r="F259" s="111">
        <f>7+20.481838/60</f>
        <v>7.341363966666667</v>
      </c>
      <c r="G259" s="111">
        <f>134+28.210795/60</f>
        <v>134.47017991666667</v>
      </c>
      <c r="H259" s="295" t="s">
        <v>1613</v>
      </c>
      <c r="I259" s="112">
        <v>1923</v>
      </c>
      <c r="J259" s="112">
        <v>1918</v>
      </c>
      <c r="K259" s="295" t="s">
        <v>1556</v>
      </c>
      <c r="L259" s="117">
        <v>1450</v>
      </c>
      <c r="M259" s="118" t="s">
        <v>308</v>
      </c>
      <c r="N259" s="118" t="s">
        <v>298</v>
      </c>
      <c r="O259" s="118" t="s">
        <v>329</v>
      </c>
      <c r="P259" s="196" t="s">
        <v>322</v>
      </c>
      <c r="Q259" s="118" t="s">
        <v>1557</v>
      </c>
      <c r="R259" s="154">
        <v>3</v>
      </c>
      <c r="S259" s="154">
        <v>3</v>
      </c>
      <c r="T259" s="154">
        <v>1</v>
      </c>
      <c r="U259" s="154">
        <v>2</v>
      </c>
      <c r="V259" s="154">
        <v>3</v>
      </c>
      <c r="W259" s="154">
        <v>4</v>
      </c>
      <c r="X259" s="154">
        <v>1</v>
      </c>
      <c r="Y259" s="154">
        <v>5</v>
      </c>
      <c r="Z259" s="154">
        <v>5</v>
      </c>
      <c r="AA259" s="154">
        <v>3</v>
      </c>
      <c r="AB259" s="296">
        <f t="shared" si="193"/>
        <v>57.999999999999993</v>
      </c>
      <c r="AC259" s="297">
        <f t="shared" si="224"/>
        <v>3625000</v>
      </c>
      <c r="AD259" s="339">
        <f t="shared" si="235"/>
        <v>18125</v>
      </c>
      <c r="AE259" s="463" t="s">
        <v>2683</v>
      </c>
      <c r="AF259" s="463"/>
      <c r="AJ259" s="108">
        <f t="shared" si="225"/>
        <v>0</v>
      </c>
      <c r="AK259" s="108">
        <f t="shared" si="226"/>
        <v>0</v>
      </c>
      <c r="AL259" s="108">
        <f t="shared" si="227"/>
        <v>1450</v>
      </c>
      <c r="AM259" s="108">
        <f t="shared" si="228"/>
        <v>1450</v>
      </c>
      <c r="AN259" s="108">
        <f t="shared" si="229"/>
        <v>0</v>
      </c>
      <c r="AO259" s="108">
        <f t="shared" si="230"/>
        <v>0</v>
      </c>
      <c r="AP259" s="108">
        <f t="shared" si="231"/>
        <v>1450</v>
      </c>
      <c r="AQ259" s="108">
        <f t="shared" si="232"/>
        <v>0</v>
      </c>
      <c r="AR259" s="108">
        <f t="shared" si="233"/>
        <v>0</v>
      </c>
      <c r="AX259" s="108">
        <f t="shared" si="173"/>
        <v>3</v>
      </c>
      <c r="AY259" s="108">
        <f t="shared" si="174"/>
        <v>3</v>
      </c>
      <c r="AZ259" s="108">
        <f t="shared" si="175"/>
        <v>1</v>
      </c>
      <c r="BA259" s="108">
        <f t="shared" si="176"/>
        <v>2</v>
      </c>
      <c r="BB259" s="108">
        <f t="shared" si="177"/>
        <v>3</v>
      </c>
      <c r="BC259" s="108">
        <f t="shared" si="178"/>
        <v>4</v>
      </c>
      <c r="BD259" s="108">
        <f t="shared" si="179"/>
        <v>1</v>
      </c>
      <c r="BE259" s="108">
        <f t="shared" si="180"/>
        <v>5</v>
      </c>
      <c r="BF259" s="108">
        <f t="shared" si="181"/>
        <v>5</v>
      </c>
      <c r="BG259" s="108">
        <f t="shared" si="182"/>
        <v>3</v>
      </c>
      <c r="BH259" s="108">
        <f t="shared" si="195"/>
        <v>58</v>
      </c>
      <c r="BJ259" s="108">
        <f t="shared" si="183"/>
        <v>5</v>
      </c>
      <c r="BK259" s="108">
        <f t="shared" si="184"/>
        <v>5</v>
      </c>
      <c r="BL259" s="108">
        <f t="shared" si="185"/>
        <v>5</v>
      </c>
      <c r="BM259" s="108">
        <f t="shared" si="186"/>
        <v>5</v>
      </c>
      <c r="BN259" s="108">
        <f t="shared" si="187"/>
        <v>5</v>
      </c>
      <c r="BO259" s="108">
        <f t="shared" si="188"/>
        <v>5</v>
      </c>
      <c r="BP259" s="108">
        <f t="shared" si="189"/>
        <v>5</v>
      </c>
      <c r="BQ259" s="108">
        <f t="shared" si="190"/>
        <v>5</v>
      </c>
      <c r="BR259" s="108">
        <f t="shared" si="191"/>
        <v>5</v>
      </c>
      <c r="BS259" s="108">
        <f t="shared" si="192"/>
        <v>5</v>
      </c>
      <c r="BT259" s="108">
        <f t="shared" si="196"/>
        <v>100</v>
      </c>
    </row>
    <row r="260" spans="1:72" ht="25" customHeight="1" x14ac:dyDescent="0.3">
      <c r="B260" s="340"/>
      <c r="C260" s="341"/>
      <c r="D260" s="342"/>
      <c r="E260" s="340"/>
      <c r="F260" s="343"/>
      <c r="G260" s="343"/>
      <c r="H260" s="340"/>
      <c r="I260" s="343"/>
      <c r="J260" s="343"/>
      <c r="K260" s="340"/>
      <c r="L260" s="343"/>
      <c r="M260" s="340"/>
      <c r="N260" s="340"/>
      <c r="O260" s="340"/>
      <c r="P260" s="344"/>
      <c r="Q260" s="340"/>
      <c r="R260" s="343"/>
      <c r="S260" s="343"/>
      <c r="T260" s="343"/>
      <c r="U260" s="343"/>
      <c r="V260" s="343"/>
      <c r="W260" s="343"/>
      <c r="X260" s="343"/>
      <c r="Y260" s="343"/>
      <c r="Z260" s="343"/>
      <c r="AA260" s="343"/>
      <c r="AB260" s="345"/>
      <c r="AC260" s="303"/>
      <c r="AD260" s="346"/>
      <c r="AE260" s="302">
        <f>SUM(AC240:AC259)</f>
        <v>63447500</v>
      </c>
      <c r="AF260" s="302">
        <f>SUM(AD240:AD259)</f>
        <v>317237.5</v>
      </c>
      <c r="AG260" s="303"/>
      <c r="AH260" s="303"/>
      <c r="AI260" s="303"/>
      <c r="AJ260" s="304">
        <f>SUM(AJ240:AJ259)*AJ$2*$AS$1</f>
        <v>0</v>
      </c>
      <c r="AK260" s="304">
        <f t="shared" ref="AK260:AR260" si="236">SUM(AK240:AK259)*AK$2*$AS$1</f>
        <v>0</v>
      </c>
      <c r="AL260" s="304">
        <f t="shared" si="236"/>
        <v>362500</v>
      </c>
      <c r="AM260" s="304">
        <f t="shared" si="236"/>
        <v>362500</v>
      </c>
      <c r="AN260" s="304">
        <f t="shared" si="236"/>
        <v>148750</v>
      </c>
      <c r="AO260" s="304">
        <f t="shared" si="236"/>
        <v>0</v>
      </c>
      <c r="AP260" s="304">
        <f t="shared" si="236"/>
        <v>418425</v>
      </c>
      <c r="AQ260" s="304">
        <f t="shared" si="236"/>
        <v>0</v>
      </c>
      <c r="AR260" s="304">
        <f t="shared" si="236"/>
        <v>179725</v>
      </c>
      <c r="AS260" s="305">
        <f>SUM(AJ260:AR260)</f>
        <v>1471900</v>
      </c>
    </row>
    <row r="261" spans="1:72" ht="25" customHeight="1" x14ac:dyDescent="0.3">
      <c r="B261" s="340"/>
      <c r="C261" s="341"/>
      <c r="D261" s="342"/>
      <c r="E261" s="340"/>
      <c r="F261" s="343"/>
      <c r="G261" s="343"/>
      <c r="H261" s="340"/>
      <c r="I261" s="343"/>
      <c r="J261" s="343"/>
      <c r="K261" s="340"/>
      <c r="L261" s="343"/>
      <c r="M261" s="340"/>
      <c r="N261" s="340"/>
      <c r="O261" s="340"/>
      <c r="P261" s="343"/>
      <c r="Q261" s="343"/>
      <c r="R261" s="343"/>
      <c r="S261" s="343"/>
      <c r="T261" s="343"/>
      <c r="U261" s="343"/>
      <c r="V261" s="343"/>
      <c r="W261" s="343"/>
      <c r="X261" s="343"/>
      <c r="Y261" s="343"/>
      <c r="Z261" s="343"/>
      <c r="AA261" s="343"/>
      <c r="AB261" s="345"/>
      <c r="AC261" s="298"/>
      <c r="AD261" s="298"/>
      <c r="AE261" s="298"/>
    </row>
    <row r="262" spans="1:72" ht="25" customHeight="1" x14ac:dyDescent="0.3">
      <c r="B262" s="340"/>
      <c r="C262" s="341"/>
      <c r="D262" s="342"/>
      <c r="E262" s="340"/>
      <c r="F262" s="343"/>
      <c r="G262" s="343"/>
      <c r="H262" s="340"/>
      <c r="I262" s="343"/>
      <c r="J262" s="343"/>
      <c r="K262" s="340"/>
      <c r="L262" s="343"/>
      <c r="M262" s="340"/>
      <c r="N262" s="340"/>
      <c r="O262" s="340"/>
      <c r="P262" s="343"/>
      <c r="Q262" s="343"/>
      <c r="R262" s="343"/>
      <c r="S262" s="343"/>
      <c r="T262" s="343"/>
      <c r="U262" s="343"/>
      <c r="V262" s="343"/>
      <c r="W262" s="343"/>
      <c r="X262" s="343"/>
      <c r="Y262" s="343"/>
      <c r="Z262" s="343"/>
      <c r="AA262" s="343"/>
      <c r="AB262" s="345"/>
      <c r="AC262" s="473" t="s">
        <v>2688</v>
      </c>
      <c r="AD262" s="474"/>
      <c r="AE262" s="347">
        <f>SUM(AC4:AC259)</f>
        <v>262967500</v>
      </c>
      <c r="AF262" s="347">
        <f>SUM(AD4:AD259)</f>
        <v>1314837.5</v>
      </c>
    </row>
    <row r="263" spans="1:72" ht="25" customHeight="1" x14ac:dyDescent="0.3">
      <c r="B263" s="340"/>
      <c r="C263" s="341"/>
      <c r="D263" s="342"/>
      <c r="E263" s="340"/>
      <c r="F263" s="343"/>
      <c r="G263" s="343"/>
      <c r="H263" s="340"/>
      <c r="I263" s="343"/>
      <c r="J263" s="343"/>
      <c r="K263" s="340"/>
      <c r="L263" s="343"/>
      <c r="M263" s="340"/>
      <c r="N263" s="340"/>
      <c r="O263" s="340"/>
      <c r="P263" s="343"/>
      <c r="Q263" s="343"/>
      <c r="R263" s="343"/>
      <c r="S263" s="343"/>
      <c r="T263" s="343"/>
      <c r="U263" s="343"/>
      <c r="V263" s="343"/>
      <c r="W263" s="343"/>
      <c r="X263" s="343"/>
      <c r="Y263" s="343"/>
      <c r="Z263" s="343"/>
      <c r="AA263" s="343"/>
      <c r="AB263" s="343"/>
      <c r="AC263" s="298"/>
      <c r="AD263" s="298"/>
      <c r="AE263" s="298"/>
    </row>
    <row r="264" spans="1:72" ht="25" customHeight="1" x14ac:dyDescent="0.3">
      <c r="B264" s="340"/>
      <c r="C264" s="341"/>
      <c r="D264" s="342"/>
      <c r="E264" s="340"/>
      <c r="F264" s="343"/>
      <c r="G264" s="343"/>
      <c r="H264" s="340"/>
      <c r="I264" s="343"/>
      <c r="J264" s="343"/>
      <c r="K264" s="340"/>
      <c r="L264" s="343"/>
      <c r="M264" s="340"/>
      <c r="N264" s="340"/>
      <c r="O264" s="340"/>
      <c r="P264" s="343"/>
      <c r="Q264" s="343"/>
      <c r="R264" s="343"/>
      <c r="S264" s="343"/>
      <c r="T264" s="343"/>
      <c r="U264" s="343"/>
      <c r="V264" s="343"/>
      <c r="W264" s="343"/>
      <c r="X264" s="343"/>
      <c r="Y264" s="343"/>
      <c r="Z264" s="343"/>
      <c r="AA264" s="343"/>
      <c r="AB264" s="343"/>
      <c r="AC264" s="298"/>
      <c r="AD264" s="298"/>
      <c r="AE264" s="298"/>
    </row>
    <row r="265" spans="1:72" ht="25" customHeight="1" x14ac:dyDescent="0.3">
      <c r="B265" s="340"/>
      <c r="C265" s="341"/>
      <c r="D265" s="342"/>
      <c r="E265" s="340"/>
      <c r="F265" s="343"/>
      <c r="G265" s="343"/>
      <c r="H265" s="340"/>
      <c r="I265" s="343"/>
      <c r="J265" s="343"/>
      <c r="K265" s="340"/>
      <c r="L265" s="343"/>
      <c r="M265" s="340"/>
      <c r="N265" s="340"/>
      <c r="O265" s="340"/>
      <c r="P265" s="343"/>
      <c r="Q265" s="343"/>
      <c r="R265" s="343"/>
      <c r="S265" s="343"/>
      <c r="T265" s="343"/>
      <c r="U265" s="343"/>
      <c r="V265" s="343"/>
      <c r="W265" s="343"/>
      <c r="X265" s="343"/>
      <c r="Y265" s="343"/>
      <c r="Z265" s="343"/>
      <c r="AA265" s="343"/>
      <c r="AB265" s="343"/>
      <c r="AC265" s="298"/>
      <c r="AD265" s="298"/>
      <c r="AE265" s="298"/>
    </row>
    <row r="266" spans="1:72" ht="25" customHeight="1" x14ac:dyDescent="0.3">
      <c r="B266" s="340"/>
      <c r="C266" s="341"/>
      <c r="D266" s="342"/>
      <c r="E266" s="340"/>
      <c r="F266" s="343"/>
      <c r="G266" s="343"/>
      <c r="H266" s="340"/>
      <c r="I266" s="343"/>
      <c r="J266" s="343"/>
      <c r="K266" s="340"/>
      <c r="L266" s="343"/>
      <c r="M266" s="340"/>
      <c r="N266" s="340"/>
      <c r="O266" s="340"/>
      <c r="P266" s="343"/>
      <c r="Q266" s="343"/>
      <c r="R266" s="343"/>
      <c r="S266" s="343"/>
      <c r="T266" s="343"/>
      <c r="U266" s="343"/>
      <c r="V266" s="343"/>
      <c r="W266" s="343"/>
      <c r="X266" s="343"/>
      <c r="Y266" s="343"/>
      <c r="Z266" s="343"/>
      <c r="AA266" s="343"/>
      <c r="AB266" s="343"/>
      <c r="AC266" s="298"/>
      <c r="AD266" s="298"/>
      <c r="AE266" s="298"/>
    </row>
    <row r="267" spans="1:72" ht="25" customHeight="1" x14ac:dyDescent="0.3">
      <c r="B267" s="340"/>
      <c r="C267" s="341"/>
      <c r="D267" s="342"/>
      <c r="E267" s="340"/>
      <c r="F267" s="343"/>
      <c r="G267" s="343"/>
      <c r="H267" s="340"/>
      <c r="I267" s="343"/>
      <c r="J267" s="343"/>
      <c r="K267" s="340"/>
      <c r="L267" s="343"/>
      <c r="M267" s="340"/>
      <c r="N267" s="340"/>
      <c r="O267" s="340"/>
      <c r="P267" s="343"/>
      <c r="Q267" s="343"/>
      <c r="R267" s="343"/>
      <c r="S267" s="343"/>
      <c r="T267" s="343"/>
      <c r="U267" s="343"/>
      <c r="V267" s="343"/>
      <c r="W267" s="343"/>
      <c r="X267" s="343"/>
      <c r="Y267" s="343"/>
      <c r="Z267" s="343"/>
      <c r="AA267" s="343"/>
      <c r="AB267" s="343"/>
      <c r="AC267" s="298"/>
      <c r="AD267" s="298"/>
      <c r="AE267" s="298"/>
    </row>
    <row r="268" spans="1:72" ht="25" customHeight="1" x14ac:dyDescent="0.3">
      <c r="B268" s="340"/>
      <c r="C268" s="341"/>
      <c r="D268" s="342"/>
      <c r="E268" s="340"/>
      <c r="F268" s="343"/>
      <c r="G268" s="343"/>
      <c r="H268" s="340"/>
      <c r="I268" s="343"/>
      <c r="J268" s="343"/>
      <c r="K268" s="340"/>
      <c r="L268" s="343"/>
      <c r="M268" s="340"/>
      <c r="N268" s="340"/>
      <c r="O268" s="340"/>
      <c r="P268" s="343"/>
      <c r="Q268" s="343"/>
      <c r="R268" s="343"/>
      <c r="S268" s="343"/>
      <c r="T268" s="343"/>
      <c r="U268" s="343"/>
      <c r="V268" s="343"/>
      <c r="W268" s="343"/>
      <c r="X268" s="343"/>
      <c r="Y268" s="343"/>
      <c r="Z268" s="343"/>
      <c r="AA268" s="343"/>
      <c r="AB268" s="343"/>
      <c r="AC268" s="298"/>
      <c r="AD268" s="298"/>
      <c r="AE268" s="298"/>
    </row>
    <row r="269" spans="1:72" ht="25" customHeight="1" x14ac:dyDescent="0.3">
      <c r="B269" s="340"/>
      <c r="C269" s="341"/>
      <c r="D269" s="342"/>
      <c r="E269" s="340"/>
      <c r="F269" s="343"/>
      <c r="G269" s="343"/>
      <c r="H269" s="340"/>
      <c r="I269" s="343"/>
      <c r="J269" s="343"/>
      <c r="K269" s="340"/>
      <c r="L269" s="343"/>
      <c r="M269" s="340"/>
      <c r="N269" s="340"/>
      <c r="O269" s="340"/>
      <c r="P269" s="343"/>
      <c r="Q269" s="343"/>
      <c r="R269" s="343"/>
      <c r="S269" s="343"/>
      <c r="T269" s="343"/>
      <c r="U269" s="343"/>
      <c r="V269" s="343"/>
      <c r="W269" s="343"/>
      <c r="X269" s="343"/>
      <c r="Y269" s="343"/>
      <c r="Z269" s="343"/>
      <c r="AA269" s="343"/>
      <c r="AB269" s="343"/>
      <c r="AC269" s="298"/>
      <c r="AD269" s="298"/>
      <c r="AE269" s="298"/>
    </row>
    <row r="270" spans="1:72" ht="25" customHeight="1" x14ac:dyDescent="0.3">
      <c r="B270" s="340"/>
      <c r="C270" s="341"/>
      <c r="D270" s="342"/>
      <c r="E270" s="340"/>
      <c r="F270" s="343"/>
      <c r="G270" s="343"/>
      <c r="H270" s="340"/>
      <c r="I270" s="343"/>
      <c r="J270" s="343"/>
      <c r="K270" s="340"/>
      <c r="L270" s="343"/>
      <c r="M270" s="340"/>
      <c r="N270" s="340"/>
      <c r="O270" s="340"/>
      <c r="P270" s="343"/>
      <c r="Q270" s="343"/>
      <c r="R270" s="343"/>
      <c r="S270" s="343"/>
      <c r="T270" s="343"/>
      <c r="U270" s="343"/>
      <c r="V270" s="343"/>
      <c r="W270" s="343"/>
      <c r="X270" s="343"/>
      <c r="Y270" s="343"/>
      <c r="Z270" s="343"/>
      <c r="AA270" s="343"/>
      <c r="AB270" s="343"/>
      <c r="AC270" s="298"/>
      <c r="AD270" s="298"/>
      <c r="AE270" s="298"/>
    </row>
    <row r="271" spans="1:72" ht="25" customHeight="1" x14ac:dyDescent="0.3">
      <c r="B271" s="340"/>
      <c r="C271" s="341"/>
      <c r="D271" s="342"/>
      <c r="E271" s="340"/>
      <c r="F271" s="343"/>
      <c r="G271" s="343"/>
      <c r="H271" s="340"/>
      <c r="I271" s="343"/>
      <c r="J271" s="343"/>
      <c r="K271" s="340"/>
      <c r="L271" s="343"/>
      <c r="M271" s="340"/>
      <c r="N271" s="340"/>
      <c r="O271" s="340"/>
      <c r="P271" s="343"/>
      <c r="Q271" s="343"/>
      <c r="R271" s="343"/>
      <c r="S271" s="343"/>
      <c r="T271" s="343"/>
      <c r="U271" s="343"/>
      <c r="V271" s="343"/>
      <c r="W271" s="343"/>
      <c r="X271" s="343"/>
      <c r="Y271" s="343"/>
      <c r="Z271" s="343"/>
      <c r="AA271" s="343"/>
      <c r="AB271" s="343"/>
      <c r="AC271" s="298"/>
      <c r="AD271" s="298"/>
      <c r="AE271" s="298"/>
    </row>
    <row r="272" spans="1:72" ht="25" customHeight="1" x14ac:dyDescent="0.3">
      <c r="B272" s="340"/>
      <c r="C272" s="341"/>
      <c r="D272" s="342"/>
      <c r="E272" s="340"/>
      <c r="F272" s="343"/>
      <c r="G272" s="343"/>
      <c r="H272" s="340"/>
      <c r="I272" s="343"/>
      <c r="J272" s="343"/>
      <c r="K272" s="340"/>
      <c r="L272" s="343"/>
      <c r="M272" s="340"/>
      <c r="N272" s="340"/>
      <c r="O272" s="340"/>
      <c r="P272" s="343"/>
      <c r="Q272" s="343"/>
      <c r="R272" s="343"/>
      <c r="S272" s="343"/>
      <c r="T272" s="343"/>
      <c r="U272" s="343"/>
      <c r="V272" s="343"/>
      <c r="W272" s="343"/>
      <c r="X272" s="343"/>
      <c r="Y272" s="343"/>
      <c r="Z272" s="343"/>
      <c r="AA272" s="343"/>
      <c r="AB272" s="343"/>
      <c r="AC272" s="298"/>
      <c r="AD272" s="298"/>
      <c r="AE272" s="298"/>
    </row>
    <row r="273" spans="2:31" ht="25" customHeight="1" x14ac:dyDescent="0.3">
      <c r="B273" s="340"/>
      <c r="C273" s="341"/>
      <c r="D273" s="342"/>
      <c r="E273" s="340"/>
      <c r="F273" s="343"/>
      <c r="G273" s="343"/>
      <c r="H273" s="340"/>
      <c r="I273" s="343"/>
      <c r="J273" s="343"/>
      <c r="K273" s="340"/>
      <c r="L273" s="343"/>
      <c r="M273" s="340"/>
      <c r="N273" s="340"/>
      <c r="O273" s="340"/>
      <c r="P273" s="343"/>
      <c r="Q273" s="343"/>
      <c r="R273" s="343"/>
      <c r="S273" s="343"/>
      <c r="T273" s="343"/>
      <c r="U273" s="343"/>
      <c r="V273" s="343"/>
      <c r="W273" s="343"/>
      <c r="X273" s="343"/>
      <c r="Y273" s="343"/>
      <c r="Z273" s="343"/>
      <c r="AA273" s="343"/>
      <c r="AB273" s="343"/>
      <c r="AC273" s="298"/>
      <c r="AD273" s="298"/>
      <c r="AE273" s="298"/>
    </row>
    <row r="274" spans="2:31" ht="25" customHeight="1" x14ac:dyDescent="0.3">
      <c r="B274" s="340"/>
      <c r="C274" s="341"/>
      <c r="D274" s="342"/>
      <c r="E274" s="340"/>
      <c r="F274" s="343"/>
      <c r="G274" s="343"/>
      <c r="H274" s="340"/>
      <c r="I274" s="343"/>
      <c r="J274" s="343"/>
      <c r="K274" s="340"/>
      <c r="L274" s="343"/>
      <c r="M274" s="340"/>
      <c r="N274" s="340"/>
      <c r="O274" s="340"/>
      <c r="P274" s="343"/>
      <c r="Q274" s="343"/>
      <c r="R274" s="343"/>
      <c r="S274" s="343"/>
      <c r="T274" s="343"/>
      <c r="U274" s="343"/>
      <c r="V274" s="343"/>
      <c r="W274" s="343"/>
      <c r="X274" s="343"/>
      <c r="Y274" s="343"/>
      <c r="Z274" s="343"/>
      <c r="AA274" s="343"/>
      <c r="AB274" s="343"/>
      <c r="AC274" s="298"/>
      <c r="AD274" s="298"/>
      <c r="AE274" s="298"/>
    </row>
    <row r="275" spans="2:31" ht="25" customHeight="1" x14ac:dyDescent="0.3">
      <c r="B275" s="340"/>
      <c r="C275" s="341"/>
      <c r="D275" s="342"/>
      <c r="E275" s="340"/>
      <c r="F275" s="343"/>
      <c r="G275" s="343"/>
      <c r="H275" s="340"/>
      <c r="I275" s="343"/>
      <c r="J275" s="343"/>
      <c r="K275" s="340"/>
      <c r="L275" s="343"/>
      <c r="M275" s="340"/>
      <c r="N275" s="340"/>
      <c r="O275" s="340"/>
      <c r="P275" s="343"/>
      <c r="Q275" s="343"/>
      <c r="R275" s="343"/>
      <c r="S275" s="343"/>
      <c r="T275" s="343"/>
      <c r="U275" s="343"/>
      <c r="V275" s="343"/>
      <c r="W275" s="343"/>
      <c r="X275" s="343"/>
      <c r="Y275" s="343"/>
      <c r="Z275" s="343"/>
      <c r="AA275" s="343"/>
      <c r="AB275" s="343"/>
      <c r="AC275" s="298"/>
      <c r="AD275" s="298"/>
      <c r="AE275" s="298"/>
    </row>
    <row r="276" spans="2:31" ht="25" customHeight="1" x14ac:dyDescent="0.3">
      <c r="B276" s="340"/>
      <c r="C276" s="341"/>
      <c r="D276" s="342"/>
      <c r="E276" s="340"/>
      <c r="F276" s="343"/>
      <c r="G276" s="343"/>
      <c r="H276" s="340"/>
      <c r="I276" s="343"/>
      <c r="J276" s="343"/>
      <c r="K276" s="340"/>
      <c r="L276" s="343"/>
      <c r="M276" s="340"/>
      <c r="N276" s="340"/>
      <c r="O276" s="340"/>
      <c r="P276" s="343"/>
      <c r="Q276" s="343"/>
      <c r="R276" s="343"/>
      <c r="S276" s="343"/>
      <c r="T276" s="343"/>
      <c r="U276" s="343"/>
      <c r="V276" s="343"/>
      <c r="W276" s="343"/>
      <c r="X276" s="343"/>
      <c r="Y276" s="343"/>
      <c r="Z276" s="343"/>
      <c r="AA276" s="343"/>
      <c r="AB276" s="343"/>
      <c r="AC276" s="298"/>
      <c r="AD276" s="298"/>
      <c r="AE276" s="298"/>
    </row>
    <row r="277" spans="2:31" ht="25" customHeight="1" x14ac:dyDescent="0.3">
      <c r="B277" s="340"/>
      <c r="C277" s="341"/>
      <c r="D277" s="342"/>
      <c r="E277" s="340"/>
      <c r="F277" s="343"/>
      <c r="G277" s="343"/>
      <c r="H277" s="340"/>
      <c r="I277" s="343"/>
      <c r="J277" s="343"/>
      <c r="K277" s="340"/>
      <c r="L277" s="343"/>
      <c r="M277" s="340"/>
      <c r="N277" s="340"/>
      <c r="O277" s="340"/>
      <c r="P277" s="343"/>
      <c r="Q277" s="343"/>
      <c r="R277" s="343"/>
      <c r="S277" s="343"/>
      <c r="T277" s="343"/>
      <c r="U277" s="343"/>
      <c r="V277" s="343"/>
      <c r="W277" s="343"/>
      <c r="X277" s="343"/>
      <c r="Y277" s="343"/>
      <c r="Z277" s="343"/>
      <c r="AA277" s="343"/>
      <c r="AB277" s="343"/>
      <c r="AC277" s="298"/>
      <c r="AD277" s="298"/>
      <c r="AE277" s="298"/>
    </row>
    <row r="278" spans="2:31" ht="25" customHeight="1" x14ac:dyDescent="0.3">
      <c r="B278" s="340"/>
      <c r="C278" s="341"/>
      <c r="D278" s="342"/>
      <c r="E278" s="340"/>
      <c r="F278" s="343"/>
      <c r="G278" s="343"/>
      <c r="H278" s="340"/>
      <c r="I278" s="343"/>
      <c r="J278" s="343"/>
      <c r="K278" s="340"/>
      <c r="L278" s="343"/>
      <c r="M278" s="340"/>
      <c r="N278" s="340"/>
      <c r="O278" s="340"/>
      <c r="P278" s="343"/>
      <c r="Q278" s="343"/>
      <c r="R278" s="343"/>
      <c r="S278" s="343"/>
      <c r="T278" s="343"/>
      <c r="U278" s="343"/>
      <c r="V278" s="343"/>
      <c r="W278" s="343"/>
      <c r="X278" s="343"/>
      <c r="Y278" s="343"/>
      <c r="Z278" s="343"/>
      <c r="AA278" s="343"/>
      <c r="AB278" s="343"/>
      <c r="AC278" s="298"/>
      <c r="AD278" s="298"/>
      <c r="AE278" s="298"/>
    </row>
    <row r="279" spans="2:31" ht="25" customHeight="1" x14ac:dyDescent="0.3">
      <c r="B279" s="340"/>
      <c r="C279" s="341"/>
      <c r="D279" s="342"/>
      <c r="E279" s="340"/>
      <c r="F279" s="343"/>
      <c r="G279" s="343"/>
      <c r="H279" s="340"/>
      <c r="I279" s="343"/>
      <c r="J279" s="343"/>
      <c r="K279" s="340"/>
      <c r="L279" s="343"/>
      <c r="M279" s="340"/>
      <c r="N279" s="340"/>
      <c r="O279" s="340"/>
      <c r="P279" s="343"/>
      <c r="Q279" s="343"/>
      <c r="R279" s="343"/>
      <c r="S279" s="343"/>
      <c r="T279" s="343"/>
      <c r="U279" s="343"/>
      <c r="V279" s="343"/>
      <c r="W279" s="343"/>
      <c r="X279" s="343"/>
      <c r="Y279" s="343"/>
      <c r="Z279" s="343"/>
      <c r="AA279" s="343"/>
      <c r="AB279" s="343"/>
      <c r="AC279" s="298"/>
      <c r="AD279" s="298"/>
      <c r="AE279" s="298"/>
    </row>
    <row r="280" spans="2:31" ht="25" customHeight="1" x14ac:dyDescent="0.3">
      <c r="B280" s="340"/>
      <c r="C280" s="341"/>
      <c r="D280" s="342"/>
      <c r="E280" s="340"/>
      <c r="F280" s="343"/>
      <c r="G280" s="343"/>
      <c r="H280" s="340"/>
      <c r="I280" s="343"/>
      <c r="J280" s="343"/>
      <c r="K280" s="340"/>
      <c r="L280" s="343"/>
      <c r="M280" s="340"/>
      <c r="N280" s="340"/>
      <c r="O280" s="340"/>
      <c r="P280" s="343"/>
      <c r="Q280" s="343"/>
      <c r="R280" s="343"/>
      <c r="S280" s="343"/>
      <c r="T280" s="343"/>
      <c r="U280" s="343"/>
      <c r="V280" s="343"/>
      <c r="W280" s="343"/>
      <c r="X280" s="343"/>
      <c r="Y280" s="343"/>
      <c r="Z280" s="343"/>
      <c r="AA280" s="343"/>
      <c r="AB280" s="343"/>
      <c r="AC280" s="298"/>
      <c r="AD280" s="298"/>
      <c r="AE280" s="298"/>
    </row>
    <row r="281" spans="2:31" ht="25" customHeight="1" x14ac:dyDescent="0.3">
      <c r="B281" s="340"/>
      <c r="C281" s="341"/>
      <c r="D281" s="342"/>
      <c r="E281" s="340"/>
      <c r="F281" s="343"/>
      <c r="G281" s="343"/>
      <c r="H281" s="340"/>
      <c r="I281" s="343"/>
      <c r="J281" s="343"/>
      <c r="K281" s="340"/>
      <c r="L281" s="343"/>
      <c r="M281" s="340"/>
      <c r="N281" s="340"/>
      <c r="O281" s="340"/>
      <c r="P281" s="343"/>
      <c r="Q281" s="343"/>
      <c r="R281" s="343"/>
      <c r="S281" s="343"/>
      <c r="T281" s="343"/>
      <c r="U281" s="343"/>
      <c r="V281" s="343"/>
      <c r="W281" s="343"/>
      <c r="X281" s="343"/>
      <c r="Y281" s="343"/>
      <c r="Z281" s="343"/>
      <c r="AA281" s="343"/>
      <c r="AB281" s="343"/>
      <c r="AC281" s="298"/>
      <c r="AD281" s="298"/>
      <c r="AE281" s="298"/>
    </row>
    <row r="282" spans="2:31" ht="25" customHeight="1" x14ac:dyDescent="0.3">
      <c r="B282" s="340"/>
      <c r="C282" s="341"/>
      <c r="D282" s="342"/>
      <c r="E282" s="340"/>
      <c r="F282" s="343"/>
      <c r="G282" s="343"/>
      <c r="H282" s="340"/>
      <c r="I282" s="343"/>
      <c r="J282" s="343"/>
      <c r="K282" s="340"/>
      <c r="L282" s="343"/>
      <c r="M282" s="340"/>
      <c r="N282" s="340"/>
      <c r="O282" s="340"/>
      <c r="P282" s="343"/>
      <c r="Q282" s="343"/>
      <c r="R282" s="343"/>
      <c r="S282" s="343"/>
      <c r="T282" s="343"/>
      <c r="U282" s="343"/>
      <c r="V282" s="343"/>
      <c r="W282" s="343"/>
      <c r="X282" s="343"/>
      <c r="Y282" s="343"/>
      <c r="Z282" s="343"/>
      <c r="AA282" s="343"/>
      <c r="AB282" s="343"/>
      <c r="AC282" s="298"/>
      <c r="AD282" s="298"/>
      <c r="AE282" s="298"/>
    </row>
    <row r="283" spans="2:31" ht="25" customHeight="1" x14ac:dyDescent="0.3">
      <c r="B283" s="340"/>
      <c r="C283" s="341"/>
      <c r="D283" s="342"/>
      <c r="E283" s="340"/>
      <c r="F283" s="343"/>
      <c r="G283" s="343"/>
      <c r="H283" s="340"/>
      <c r="I283" s="343"/>
      <c r="J283" s="343"/>
      <c r="K283" s="340"/>
      <c r="L283" s="343"/>
      <c r="M283" s="340"/>
      <c r="N283" s="340"/>
      <c r="O283" s="340"/>
      <c r="P283" s="343"/>
      <c r="Q283" s="343"/>
      <c r="R283" s="343"/>
      <c r="S283" s="343"/>
      <c r="T283" s="343"/>
      <c r="U283" s="343"/>
      <c r="V283" s="343"/>
      <c r="W283" s="343"/>
      <c r="X283" s="343"/>
      <c r="Y283" s="343"/>
      <c r="Z283" s="343"/>
      <c r="AA283" s="343"/>
      <c r="AB283" s="343"/>
      <c r="AC283" s="298"/>
      <c r="AD283" s="298"/>
      <c r="AE283" s="298"/>
    </row>
    <row r="284" spans="2:31" ht="25" customHeight="1" x14ac:dyDescent="0.3">
      <c r="B284" s="340"/>
      <c r="C284" s="341"/>
      <c r="D284" s="342"/>
      <c r="E284" s="340"/>
      <c r="F284" s="343"/>
      <c r="G284" s="343"/>
      <c r="H284" s="340"/>
      <c r="I284" s="343"/>
      <c r="J284" s="343"/>
      <c r="K284" s="340"/>
      <c r="L284" s="343"/>
      <c r="M284" s="340"/>
      <c r="N284" s="340"/>
      <c r="O284" s="340"/>
      <c r="P284" s="343"/>
      <c r="Q284" s="343"/>
      <c r="R284" s="343"/>
      <c r="S284" s="343"/>
      <c r="T284" s="343"/>
      <c r="U284" s="343"/>
      <c r="V284" s="343"/>
      <c r="W284" s="343"/>
      <c r="X284" s="343"/>
      <c r="Y284" s="343"/>
      <c r="Z284" s="343"/>
      <c r="AA284" s="343"/>
      <c r="AB284" s="343"/>
      <c r="AC284" s="298"/>
      <c r="AD284" s="298"/>
      <c r="AE284" s="298"/>
    </row>
    <row r="285" spans="2:31" ht="25" customHeight="1" x14ac:dyDescent="0.3">
      <c r="B285" s="340"/>
      <c r="C285" s="341"/>
      <c r="D285" s="342"/>
      <c r="E285" s="340"/>
      <c r="F285" s="343"/>
      <c r="G285" s="343"/>
      <c r="H285" s="340"/>
      <c r="I285" s="343"/>
      <c r="J285" s="343"/>
      <c r="K285" s="340"/>
      <c r="L285" s="343"/>
      <c r="M285" s="340"/>
      <c r="N285" s="340"/>
      <c r="O285" s="340"/>
      <c r="P285" s="343"/>
      <c r="Q285" s="343"/>
      <c r="R285" s="343"/>
      <c r="S285" s="343"/>
      <c r="T285" s="343"/>
      <c r="U285" s="343"/>
      <c r="V285" s="343"/>
      <c r="W285" s="343"/>
      <c r="X285" s="343"/>
      <c r="Y285" s="343"/>
      <c r="Z285" s="343"/>
      <c r="AA285" s="343"/>
      <c r="AB285" s="343"/>
      <c r="AC285" s="298"/>
      <c r="AD285" s="298"/>
      <c r="AE285" s="298"/>
    </row>
    <row r="286" spans="2:31" ht="25" customHeight="1" x14ac:dyDescent="0.3">
      <c r="B286" s="340"/>
      <c r="C286" s="341"/>
      <c r="D286" s="342"/>
      <c r="E286" s="340"/>
      <c r="F286" s="343"/>
      <c r="G286" s="343"/>
      <c r="H286" s="340"/>
      <c r="I286" s="343"/>
      <c r="J286" s="343"/>
      <c r="K286" s="340"/>
      <c r="L286" s="343"/>
      <c r="M286" s="340"/>
      <c r="N286" s="340"/>
      <c r="O286" s="340"/>
      <c r="P286" s="343"/>
      <c r="Q286" s="343"/>
      <c r="R286" s="343"/>
      <c r="S286" s="343"/>
      <c r="T286" s="343"/>
      <c r="U286" s="343"/>
      <c r="V286" s="343"/>
      <c r="W286" s="343"/>
      <c r="X286" s="343"/>
      <c r="Y286" s="343"/>
      <c r="Z286" s="343"/>
      <c r="AA286" s="343"/>
      <c r="AB286" s="343"/>
      <c r="AC286" s="298"/>
      <c r="AD286" s="298"/>
      <c r="AE286" s="298"/>
    </row>
    <row r="287" spans="2:31" ht="25" customHeight="1" x14ac:dyDescent="0.3">
      <c r="B287" s="340"/>
      <c r="C287" s="341"/>
      <c r="D287" s="342"/>
      <c r="E287" s="340"/>
      <c r="F287" s="343"/>
      <c r="G287" s="343"/>
      <c r="H287" s="340"/>
      <c r="I287" s="343"/>
      <c r="J287" s="343"/>
      <c r="K287" s="340"/>
      <c r="L287" s="343"/>
      <c r="M287" s="340"/>
      <c r="N287" s="340"/>
      <c r="O287" s="340"/>
      <c r="P287" s="343"/>
      <c r="Q287" s="343"/>
      <c r="R287" s="343"/>
      <c r="S287" s="343"/>
      <c r="T287" s="343"/>
      <c r="U287" s="343"/>
      <c r="V287" s="343"/>
      <c r="W287" s="343"/>
      <c r="X287" s="343"/>
      <c r="Y287" s="343"/>
      <c r="Z287" s="343"/>
      <c r="AA287" s="343"/>
      <c r="AB287" s="343"/>
      <c r="AC287" s="298"/>
      <c r="AD287" s="298"/>
      <c r="AE287" s="298"/>
    </row>
    <row r="288" spans="2:31" ht="25" customHeight="1" x14ac:dyDescent="0.3">
      <c r="B288" s="340"/>
      <c r="C288" s="341"/>
      <c r="D288" s="342"/>
      <c r="E288" s="340"/>
      <c r="F288" s="343"/>
      <c r="G288" s="343"/>
      <c r="H288" s="340"/>
      <c r="I288" s="343"/>
      <c r="J288" s="343"/>
      <c r="K288" s="340"/>
      <c r="L288" s="343"/>
      <c r="M288" s="340"/>
      <c r="N288" s="340"/>
      <c r="O288" s="340"/>
      <c r="P288" s="343"/>
      <c r="Q288" s="343"/>
      <c r="R288" s="343"/>
      <c r="S288" s="343"/>
      <c r="T288" s="343"/>
      <c r="U288" s="343"/>
      <c r="V288" s="343"/>
      <c r="W288" s="343"/>
      <c r="X288" s="343"/>
      <c r="Y288" s="343"/>
      <c r="Z288" s="343"/>
      <c r="AA288" s="343"/>
      <c r="AB288" s="343"/>
      <c r="AC288" s="298"/>
      <c r="AD288" s="298"/>
      <c r="AE288" s="298"/>
    </row>
    <row r="289" spans="2:31" ht="25" customHeight="1" x14ac:dyDescent="0.3">
      <c r="B289" s="340"/>
      <c r="C289" s="341"/>
      <c r="D289" s="342"/>
      <c r="E289" s="340"/>
      <c r="F289" s="343"/>
      <c r="G289" s="343"/>
      <c r="H289" s="340"/>
      <c r="I289" s="343"/>
      <c r="J289" s="343"/>
      <c r="K289" s="340"/>
      <c r="L289" s="343"/>
      <c r="M289" s="340"/>
      <c r="N289" s="340"/>
      <c r="O289" s="340"/>
      <c r="P289" s="343"/>
      <c r="Q289" s="343"/>
      <c r="R289" s="343"/>
      <c r="S289" s="343"/>
      <c r="T289" s="343"/>
      <c r="U289" s="343"/>
      <c r="V289" s="343"/>
      <c r="W289" s="343"/>
      <c r="X289" s="343"/>
      <c r="Y289" s="343"/>
      <c r="Z289" s="343"/>
      <c r="AA289" s="343"/>
      <c r="AB289" s="343"/>
      <c r="AC289" s="298"/>
      <c r="AD289" s="298"/>
      <c r="AE289" s="298"/>
    </row>
    <row r="290" spans="2:31" ht="25" customHeight="1" x14ac:dyDescent="0.3">
      <c r="B290" s="340"/>
      <c r="C290" s="341"/>
      <c r="D290" s="342"/>
      <c r="E290" s="340"/>
      <c r="F290" s="343"/>
      <c r="G290" s="343"/>
      <c r="H290" s="340"/>
      <c r="I290" s="343"/>
      <c r="J290" s="343"/>
      <c r="K290" s="340"/>
      <c r="L290" s="343"/>
      <c r="M290" s="340"/>
      <c r="N290" s="340"/>
      <c r="O290" s="340"/>
      <c r="P290" s="343"/>
      <c r="Q290" s="343"/>
      <c r="R290" s="343"/>
      <c r="S290" s="343"/>
      <c r="T290" s="343"/>
      <c r="U290" s="343"/>
      <c r="V290" s="343"/>
      <c r="W290" s="343"/>
      <c r="X290" s="343"/>
      <c r="Y290" s="343"/>
      <c r="Z290" s="343"/>
      <c r="AA290" s="343"/>
      <c r="AB290" s="343"/>
      <c r="AC290" s="298"/>
      <c r="AD290" s="298"/>
      <c r="AE290" s="298"/>
    </row>
    <row r="291" spans="2:31" ht="25" customHeight="1" x14ac:dyDescent="0.3">
      <c r="B291" s="340"/>
      <c r="C291" s="341"/>
      <c r="D291" s="342"/>
      <c r="E291" s="340"/>
      <c r="F291" s="343"/>
      <c r="G291" s="343"/>
      <c r="H291" s="340"/>
      <c r="I291" s="343"/>
      <c r="J291" s="343"/>
      <c r="K291" s="340"/>
      <c r="L291" s="343"/>
      <c r="M291" s="340"/>
      <c r="N291" s="340"/>
      <c r="O291" s="340"/>
      <c r="P291" s="343"/>
      <c r="Q291" s="343"/>
      <c r="R291" s="343"/>
      <c r="S291" s="343"/>
      <c r="T291" s="343"/>
      <c r="U291" s="343"/>
      <c r="V291" s="343"/>
      <c r="W291" s="343"/>
      <c r="X291" s="343"/>
      <c r="Y291" s="343"/>
      <c r="Z291" s="343"/>
      <c r="AA291" s="343"/>
      <c r="AB291" s="343"/>
      <c r="AC291" s="298"/>
      <c r="AD291" s="298"/>
      <c r="AE291" s="298"/>
    </row>
    <row r="292" spans="2:31" ht="25" customHeight="1" x14ac:dyDescent="0.3">
      <c r="B292" s="340"/>
      <c r="C292" s="341"/>
      <c r="D292" s="342"/>
      <c r="E292" s="340"/>
      <c r="F292" s="343"/>
      <c r="G292" s="343"/>
      <c r="H292" s="340"/>
      <c r="I292" s="343"/>
      <c r="J292" s="343"/>
      <c r="K292" s="340"/>
      <c r="L292" s="343"/>
      <c r="M292" s="340"/>
      <c r="N292" s="340"/>
      <c r="O292" s="340"/>
      <c r="P292" s="343"/>
      <c r="Q292" s="343"/>
      <c r="R292" s="343"/>
      <c r="S292" s="343"/>
      <c r="T292" s="343"/>
      <c r="U292" s="343"/>
      <c r="V292" s="343"/>
      <c r="W292" s="343"/>
      <c r="X292" s="343"/>
      <c r="Y292" s="343"/>
      <c r="Z292" s="343"/>
      <c r="AA292" s="343"/>
      <c r="AB292" s="343"/>
      <c r="AC292" s="298"/>
      <c r="AD292" s="298"/>
      <c r="AE292" s="298"/>
    </row>
    <row r="293" spans="2:31" ht="25" customHeight="1" x14ac:dyDescent="0.3">
      <c r="B293" s="340"/>
      <c r="C293" s="341"/>
      <c r="D293" s="342"/>
      <c r="E293" s="340"/>
      <c r="F293" s="343"/>
      <c r="G293" s="343"/>
      <c r="H293" s="340"/>
      <c r="I293" s="343"/>
      <c r="J293" s="343"/>
      <c r="K293" s="340"/>
      <c r="L293" s="343"/>
      <c r="M293" s="340"/>
      <c r="N293" s="340"/>
      <c r="O293" s="340"/>
      <c r="P293" s="343"/>
      <c r="Q293" s="343"/>
      <c r="R293" s="343"/>
      <c r="S293" s="343"/>
      <c r="T293" s="343"/>
      <c r="U293" s="343"/>
      <c r="V293" s="343"/>
      <c r="W293" s="343"/>
      <c r="X293" s="343"/>
      <c r="Y293" s="343"/>
      <c r="Z293" s="343"/>
      <c r="AA293" s="343"/>
      <c r="AB293" s="343"/>
      <c r="AC293" s="298"/>
      <c r="AD293" s="298"/>
      <c r="AE293" s="298"/>
    </row>
    <row r="294" spans="2:31" ht="25" customHeight="1" x14ac:dyDescent="0.3">
      <c r="B294" s="340"/>
      <c r="C294" s="341"/>
      <c r="D294" s="342"/>
      <c r="E294" s="340"/>
      <c r="F294" s="343"/>
      <c r="G294" s="343"/>
      <c r="H294" s="340"/>
      <c r="I294" s="343"/>
      <c r="J294" s="343"/>
      <c r="K294" s="340"/>
      <c r="L294" s="343"/>
      <c r="M294" s="340"/>
      <c r="N294" s="340"/>
      <c r="O294" s="340"/>
      <c r="P294" s="343"/>
      <c r="Q294" s="343"/>
      <c r="R294" s="343"/>
      <c r="S294" s="343"/>
      <c r="T294" s="343"/>
      <c r="U294" s="343"/>
      <c r="V294" s="343"/>
      <c r="W294" s="343"/>
      <c r="X294" s="343"/>
      <c r="Y294" s="343"/>
      <c r="Z294" s="343"/>
      <c r="AA294" s="343"/>
      <c r="AB294" s="343"/>
      <c r="AC294" s="298"/>
      <c r="AD294" s="298"/>
      <c r="AE294" s="298"/>
    </row>
    <row r="295" spans="2:31" x14ac:dyDescent="0.3">
      <c r="B295" s="348"/>
      <c r="C295" s="349"/>
      <c r="D295" s="350"/>
      <c r="E295" s="348"/>
      <c r="F295" s="298"/>
      <c r="G295" s="298"/>
      <c r="H295" s="348"/>
      <c r="I295" s="298"/>
      <c r="J295" s="298"/>
      <c r="K295" s="348"/>
      <c r="L295" s="298"/>
      <c r="M295" s="348"/>
      <c r="N295" s="348"/>
      <c r="O295" s="348"/>
      <c r="P295" s="298"/>
      <c r="Q295" s="298"/>
      <c r="R295" s="298"/>
      <c r="S295" s="298"/>
      <c r="T295" s="298"/>
      <c r="U295" s="298"/>
      <c r="V295" s="298"/>
      <c r="W295" s="298"/>
      <c r="X295" s="298"/>
      <c r="Y295" s="298"/>
      <c r="Z295" s="298"/>
      <c r="AA295" s="298"/>
      <c r="AB295" s="298"/>
      <c r="AC295" s="282"/>
      <c r="AD295" s="282"/>
    </row>
    <row r="296" spans="2:31" x14ac:dyDescent="0.3">
      <c r="B296" s="348"/>
      <c r="C296" s="349"/>
      <c r="D296" s="350"/>
      <c r="E296" s="348"/>
      <c r="F296" s="298"/>
      <c r="G296" s="298"/>
      <c r="H296" s="348"/>
      <c r="I296" s="298"/>
      <c r="J296" s="298"/>
      <c r="K296" s="348"/>
      <c r="L296" s="298"/>
      <c r="M296" s="348"/>
      <c r="N296" s="348"/>
      <c r="O296" s="348"/>
      <c r="P296" s="298"/>
      <c r="Q296" s="298"/>
      <c r="R296" s="298"/>
      <c r="S296" s="298"/>
      <c r="T296" s="298"/>
      <c r="U296" s="298"/>
      <c r="V296" s="298"/>
      <c r="W296" s="298"/>
      <c r="X296" s="298"/>
      <c r="Y296" s="298"/>
      <c r="Z296" s="298"/>
      <c r="AA296" s="298"/>
      <c r="AB296" s="298"/>
      <c r="AC296" s="282"/>
      <c r="AD296" s="282"/>
    </row>
    <row r="297" spans="2:31" x14ac:dyDescent="0.3">
      <c r="AC297" s="282"/>
      <c r="AD297" s="282"/>
    </row>
    <row r="298" spans="2:31" x14ac:dyDescent="0.3">
      <c r="AC298" s="282"/>
      <c r="AD298" s="282"/>
    </row>
    <row r="299" spans="2:31" x14ac:dyDescent="0.3">
      <c r="AC299" s="282"/>
      <c r="AD299" s="282"/>
    </row>
    <row r="300" spans="2:31" x14ac:dyDescent="0.3">
      <c r="AC300" s="282"/>
      <c r="AD300" s="282"/>
    </row>
    <row r="301" spans="2:31" x14ac:dyDescent="0.3">
      <c r="AC301" s="282"/>
      <c r="AD301" s="282"/>
    </row>
    <row r="302" spans="2:31" x14ac:dyDescent="0.3">
      <c r="AC302" s="282"/>
      <c r="AD302" s="282"/>
    </row>
    <row r="303" spans="2:31" x14ac:dyDescent="0.3">
      <c r="AC303" s="282"/>
      <c r="AD303" s="282"/>
    </row>
    <row r="304" spans="2:31" x14ac:dyDescent="0.3">
      <c r="AC304" s="282"/>
      <c r="AD304" s="282"/>
    </row>
    <row r="305" spans="29:30" x14ac:dyDescent="0.3">
      <c r="AC305" s="282"/>
      <c r="AD305" s="282"/>
    </row>
    <row r="306" spans="29:30" x14ac:dyDescent="0.3">
      <c r="AC306" s="282"/>
      <c r="AD306" s="282"/>
    </row>
    <row r="307" spans="29:30" x14ac:dyDescent="0.3">
      <c r="AC307" s="282"/>
      <c r="AD307" s="282"/>
    </row>
    <row r="308" spans="29:30" x14ac:dyDescent="0.3">
      <c r="AC308" s="282"/>
      <c r="AD308" s="282"/>
    </row>
    <row r="309" spans="29:30" x14ac:dyDescent="0.3">
      <c r="AC309" s="282"/>
      <c r="AD309" s="282"/>
    </row>
    <row r="310" spans="29:30" x14ac:dyDescent="0.3">
      <c r="AC310" s="282"/>
      <c r="AD310" s="282"/>
    </row>
    <row r="311" spans="29:30" x14ac:dyDescent="0.3">
      <c r="AC311" s="282"/>
      <c r="AD311" s="282"/>
    </row>
    <row r="312" spans="29:30" x14ac:dyDescent="0.3">
      <c r="AC312" s="282"/>
      <c r="AD312" s="282"/>
    </row>
  </sheetData>
  <mergeCells count="24">
    <mergeCell ref="AC262:AD262"/>
    <mergeCell ref="AE49:AF49"/>
    <mergeCell ref="AE259:AF259"/>
    <mergeCell ref="AE238:AF238"/>
    <mergeCell ref="AE227:AF227"/>
    <mergeCell ref="AE213:AF213"/>
    <mergeCell ref="AE201:AF201"/>
    <mergeCell ref="AE118:AF118"/>
    <mergeCell ref="AE105:AF105"/>
    <mergeCell ref="AE92:AF92"/>
    <mergeCell ref="AE87:AF87"/>
    <mergeCell ref="AE80:AF80"/>
    <mergeCell ref="AE72:AF72"/>
    <mergeCell ref="B1:H1"/>
    <mergeCell ref="AE63:AF63"/>
    <mergeCell ref="AE57:AF57"/>
    <mergeCell ref="L2:Q2"/>
    <mergeCell ref="F3:G3"/>
    <mergeCell ref="AE7:AF7"/>
    <mergeCell ref="AE19:AF19"/>
    <mergeCell ref="AE29:AF29"/>
    <mergeCell ref="AE34:AF34"/>
    <mergeCell ref="AE39:AF39"/>
    <mergeCell ref="AE43:AF43"/>
  </mergeCells>
  <conditionalFormatting sqref="R4:AA266">
    <cfRule type="cellIs" dxfId="39" priority="5" operator="equal">
      <formula>1</formula>
    </cfRule>
  </conditionalFormatting>
  <conditionalFormatting sqref="C260">
    <cfRule type="cellIs" dxfId="38" priority="4" operator="equal">
      <formula>2</formula>
    </cfRule>
  </conditionalFormatting>
  <conditionalFormatting sqref="R4:Z294">
    <cfRule type="cellIs" dxfId="37" priority="3" operator="equal">
      <formula>2</formula>
    </cfRule>
  </conditionalFormatting>
  <conditionalFormatting sqref="AB4:AB274">
    <cfRule type="cellIs" dxfId="36" priority="1" operator="between">
      <formula>21</formula>
      <formula>40</formula>
    </cfRule>
    <cfRule type="cellIs" dxfId="35" priority="2" operator="between">
      <formula>1</formula>
      <formula>20</formula>
    </cfRule>
  </conditionalFormatting>
  <pageMargins left="0.25" right="0.25" top="0.75" bottom="0.75" header="0.3" footer="0.3"/>
  <pageSetup orientation="landscape" r:id="rId1"/>
  <headerFooter>
    <oddFooter>&amp;L&amp;1#&amp;"Calibri"&amp;9&amp;K000000INTERNAL.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D198"/>
  <sheetViews>
    <sheetView topLeftCell="K36" workbookViewId="0">
      <selection activeCell="R47" sqref="R47"/>
    </sheetView>
  </sheetViews>
  <sheetFormatPr defaultColWidth="8.81640625" defaultRowHeight="14" x14ac:dyDescent="0.3"/>
  <cols>
    <col min="1" max="1" width="4.6328125" style="108" customWidth="1"/>
    <col min="2" max="2" width="8.81640625" style="278"/>
    <col min="3" max="3" width="21.1796875" style="278" customWidth="1"/>
    <col min="4" max="4" width="46.1796875" style="147" customWidth="1"/>
    <col min="5" max="5" width="18.6328125" style="147" customWidth="1"/>
    <col min="6" max="10" width="18.6328125" style="278" customWidth="1"/>
    <col min="11" max="11" width="25.36328125" style="278" customWidth="1"/>
    <col min="12" max="14" width="18.6328125" style="278" customWidth="1"/>
    <col min="15" max="15" width="20.453125" style="278" customWidth="1"/>
    <col min="16" max="16" width="9.6328125" style="109" customWidth="1"/>
    <col min="17" max="17" width="15.453125" style="108" customWidth="1"/>
    <col min="18" max="18" width="14.1796875" style="108" customWidth="1"/>
    <col min="19" max="21" width="8.81640625" style="108"/>
    <col min="22" max="22" width="10" style="108" customWidth="1"/>
    <col min="23" max="23" width="10.1796875" style="108" customWidth="1"/>
    <col min="24" max="24" width="12.36328125" style="108" customWidth="1"/>
    <col min="25" max="25" width="11" style="108" customWidth="1"/>
    <col min="26" max="28" width="8.81640625" style="108"/>
    <col min="29" max="29" width="11.36328125" style="108" customWidth="1"/>
    <col min="30" max="16384" width="8.81640625" style="108"/>
  </cols>
  <sheetData>
    <row r="2" spans="2:30" ht="29" customHeight="1" x14ac:dyDescent="0.3">
      <c r="B2" s="467" t="s">
        <v>111</v>
      </c>
      <c r="C2" s="518"/>
      <c r="D2" s="518"/>
      <c r="E2" s="468"/>
      <c r="F2" s="273"/>
      <c r="G2" s="273"/>
      <c r="H2" s="276" t="s">
        <v>110</v>
      </c>
      <c r="I2" s="519" t="s">
        <v>109</v>
      </c>
      <c r="J2" s="520"/>
      <c r="K2" s="520"/>
      <c r="L2" s="520"/>
      <c r="M2" s="521" t="s">
        <v>173</v>
      </c>
      <c r="N2" s="522"/>
      <c r="O2" s="143"/>
      <c r="Q2" s="441">
        <v>1500</v>
      </c>
      <c r="R2" s="442">
        <v>0.02</v>
      </c>
      <c r="V2" s="108">
        <v>3</v>
      </c>
      <c r="W2" s="108">
        <v>3</v>
      </c>
      <c r="X2" s="108">
        <v>3</v>
      </c>
      <c r="AA2" s="108">
        <v>3</v>
      </c>
      <c r="AB2" s="108">
        <v>3</v>
      </c>
      <c r="AC2" s="108">
        <v>3</v>
      </c>
    </row>
    <row r="3" spans="2:30" ht="42" x14ac:dyDescent="0.3">
      <c r="B3" s="274" t="s">
        <v>20</v>
      </c>
      <c r="C3" s="149" t="s">
        <v>171</v>
      </c>
      <c r="D3" s="274" t="s">
        <v>120</v>
      </c>
      <c r="E3" s="274" t="s">
        <v>121</v>
      </c>
      <c r="F3" s="467" t="s">
        <v>317</v>
      </c>
      <c r="G3" s="468"/>
      <c r="H3" s="275" t="s">
        <v>11</v>
      </c>
      <c r="I3" s="151" t="s">
        <v>116</v>
      </c>
      <c r="J3" s="151" t="s">
        <v>172</v>
      </c>
      <c r="K3" s="151" t="s">
        <v>176</v>
      </c>
      <c r="L3" s="151" t="s">
        <v>175</v>
      </c>
      <c r="M3" s="152" t="s">
        <v>174</v>
      </c>
      <c r="N3" s="152" t="s">
        <v>129</v>
      </c>
      <c r="O3" s="153" t="s">
        <v>156</v>
      </c>
      <c r="P3" s="272" t="s">
        <v>1969</v>
      </c>
      <c r="Q3" s="419" t="s">
        <v>2690</v>
      </c>
      <c r="R3" s="419" t="s">
        <v>2696</v>
      </c>
      <c r="V3" s="115" t="s">
        <v>174</v>
      </c>
      <c r="W3" s="115" t="s">
        <v>129</v>
      </c>
      <c r="X3" s="115" t="s">
        <v>156</v>
      </c>
      <c r="Y3" s="281" t="s">
        <v>1977</v>
      </c>
      <c r="AA3" s="115" t="s">
        <v>174</v>
      </c>
      <c r="AB3" s="115" t="s">
        <v>129</v>
      </c>
      <c r="AC3" s="115" t="s">
        <v>156</v>
      </c>
      <c r="AD3" s="281" t="s">
        <v>1978</v>
      </c>
    </row>
    <row r="4" spans="2:30" x14ac:dyDescent="0.3">
      <c r="B4" s="111"/>
      <c r="C4" s="299"/>
      <c r="D4" s="116"/>
      <c r="E4" s="116"/>
      <c r="F4" s="111" t="s">
        <v>302</v>
      </c>
      <c r="G4" s="111" t="s">
        <v>303</v>
      </c>
      <c r="H4" s="112"/>
      <c r="I4" s="114"/>
      <c r="J4" s="114"/>
      <c r="K4" s="114"/>
      <c r="L4" s="114"/>
      <c r="M4" s="115"/>
      <c r="N4" s="115"/>
      <c r="O4" s="113"/>
      <c r="P4" s="277"/>
      <c r="Q4" s="185"/>
      <c r="R4" s="185"/>
    </row>
    <row r="5" spans="2:30" ht="25" customHeight="1" x14ac:dyDescent="0.3">
      <c r="B5" s="111" t="s">
        <v>415</v>
      </c>
      <c r="C5" s="111" t="s">
        <v>335</v>
      </c>
      <c r="D5" s="116" t="s">
        <v>284</v>
      </c>
      <c r="E5" s="116" t="s">
        <v>336</v>
      </c>
      <c r="F5" s="111">
        <f>7+31.819426/60</f>
        <v>7.5303237666666671</v>
      </c>
      <c r="G5" s="111">
        <f>134+31.717519/60</f>
        <v>134.52862531666668</v>
      </c>
      <c r="H5" s="112">
        <v>1989</v>
      </c>
      <c r="I5" s="117">
        <v>15</v>
      </c>
      <c r="J5" s="117">
        <v>1.1299999999999999</v>
      </c>
      <c r="K5" s="118" t="s">
        <v>339</v>
      </c>
      <c r="L5" s="118" t="s">
        <v>298</v>
      </c>
      <c r="M5" s="154">
        <v>4</v>
      </c>
      <c r="N5" s="154">
        <v>5</v>
      </c>
      <c r="O5" s="154">
        <v>5</v>
      </c>
      <c r="P5" s="416">
        <f>ROUND(Y5/AD5*100,0)</f>
        <v>93</v>
      </c>
      <c r="Q5" s="443">
        <f>7.5*I5*Q$2</f>
        <v>168750</v>
      </c>
      <c r="R5" s="443">
        <f>ROUND(R$2*Q5,-2)</f>
        <v>3400</v>
      </c>
      <c r="S5" s="281"/>
      <c r="T5" s="281"/>
      <c r="U5" s="281"/>
      <c r="V5" s="278">
        <f>IF(OR(M5=1,M5=2,M5=3,M5=4,M5=5),M5,0)</f>
        <v>4</v>
      </c>
      <c r="W5" s="278">
        <f t="shared" ref="W5:X5" si="0">IF(OR(N5=1,N5=2,N5=3,N5=4,N5=5),N5,0)</f>
        <v>5</v>
      </c>
      <c r="X5" s="278">
        <f t="shared" si="0"/>
        <v>5</v>
      </c>
      <c r="Y5" s="278">
        <f>V$2*V5+W$2*W5+X$2*X5</f>
        <v>42</v>
      </c>
      <c r="Z5" s="278"/>
      <c r="AA5" s="278">
        <f>IF(OR(M5=1,M5=2,M5=3,M5=4,M5=5),5,0)</f>
        <v>5</v>
      </c>
      <c r="AB5" s="278">
        <f t="shared" ref="AB5:AC5" si="1">IF(OR(N5=1,N5=2,N5=3,N5=4,N5=5),5,0)</f>
        <v>5</v>
      </c>
      <c r="AC5" s="278">
        <f t="shared" si="1"/>
        <v>5</v>
      </c>
      <c r="AD5" s="278">
        <f>AA$2*AA5+AB$2*AB5+AC$2*AC5</f>
        <v>45</v>
      </c>
    </row>
    <row r="6" spans="2:30" ht="25" customHeight="1" x14ac:dyDescent="0.3">
      <c r="B6" s="111" t="s">
        <v>416</v>
      </c>
      <c r="C6" s="111" t="s">
        <v>337</v>
      </c>
      <c r="D6" s="116" t="s">
        <v>338</v>
      </c>
      <c r="E6" s="116" t="s">
        <v>336</v>
      </c>
      <c r="F6" s="111">
        <f>7+31.51599/60</f>
        <v>7.5252664999999999</v>
      </c>
      <c r="G6" s="111">
        <f>134+32.918111/60</f>
        <v>134.54863518333335</v>
      </c>
      <c r="H6" s="112">
        <v>2009</v>
      </c>
      <c r="I6" s="117">
        <v>10</v>
      </c>
      <c r="J6" s="117">
        <v>5.75</v>
      </c>
      <c r="K6" s="118" t="s">
        <v>1980</v>
      </c>
      <c r="L6" s="118" t="s">
        <v>298</v>
      </c>
      <c r="M6" s="154">
        <v>5</v>
      </c>
      <c r="N6" s="154">
        <v>5</v>
      </c>
      <c r="O6" s="154">
        <v>5</v>
      </c>
      <c r="P6" s="416">
        <f>ROUND(Y6/AD6*100,0)</f>
        <v>100</v>
      </c>
      <c r="Q6" s="443">
        <f t="shared" ref="Q6:Q43" si="2">7.5*I6*Q$2</f>
        <v>112500</v>
      </c>
      <c r="R6" s="443">
        <f t="shared" ref="R6:R43" si="3">ROUND(R$2*Q6,-2)</f>
        <v>2300</v>
      </c>
      <c r="S6" s="281"/>
      <c r="T6" s="281"/>
      <c r="U6" s="281"/>
      <c r="V6" s="278">
        <f t="shared" ref="V6:V46" si="4">IF(OR(M6=1,M6=2,M6=3,M6=4,M6=5),M6,0)</f>
        <v>5</v>
      </c>
      <c r="W6" s="278">
        <f t="shared" ref="W6:W46" si="5">IF(OR(N6=1,N6=2,N6=3,N6=4,N6=5),N6,0)</f>
        <v>5</v>
      </c>
      <c r="X6" s="278">
        <f t="shared" ref="X6:X46" si="6">IF(OR(O6=1,O6=2,O6=3,O6=4,O6=5),O6,0)</f>
        <v>5</v>
      </c>
      <c r="Y6" s="278">
        <f t="shared" ref="Y6:Y46" si="7">V$2*V6+W$2*W6+X$2*X6</f>
        <v>45</v>
      </c>
      <c r="Z6" s="278"/>
      <c r="AA6" s="278">
        <f t="shared" ref="AA6:AA46" si="8">IF(OR(M6=1,M6=2,M6=3,M6=4,M6=5),5,0)</f>
        <v>5</v>
      </c>
      <c r="AB6" s="278">
        <f t="shared" ref="AB6:AB46" si="9">IF(OR(N6=1,N6=2,N6=3,N6=4,N6=5),5,0)</f>
        <v>5</v>
      </c>
      <c r="AC6" s="278">
        <f t="shared" ref="AC6:AC46" si="10">IF(OR(O6=1,O6=2,O6=3,O6=4,O6=5),5,0)</f>
        <v>5</v>
      </c>
      <c r="AD6" s="278">
        <f t="shared" ref="AD6:AD46" si="11">AA$2*AA6+AB$2*AB6+AC$2*AC6</f>
        <v>45</v>
      </c>
    </row>
    <row r="7" spans="2:30" ht="25" customHeight="1" x14ac:dyDescent="0.3">
      <c r="B7" s="111" t="s">
        <v>1706</v>
      </c>
      <c r="C7" s="144" t="s">
        <v>1707</v>
      </c>
      <c r="D7" s="145" t="s">
        <v>1708</v>
      </c>
      <c r="E7" s="116" t="s">
        <v>1709</v>
      </c>
      <c r="F7" s="144">
        <f>7+33/60+3.72/3600</f>
        <v>7.5510333333333328</v>
      </c>
      <c r="G7" s="144">
        <f>134+34/60+43.6/3600</f>
        <v>134.57877777777779</v>
      </c>
      <c r="H7" s="112" t="s">
        <v>1710</v>
      </c>
      <c r="I7" s="117">
        <v>20</v>
      </c>
      <c r="J7" s="117"/>
      <c r="K7" s="117" t="s">
        <v>1711</v>
      </c>
      <c r="L7" s="117" t="s">
        <v>163</v>
      </c>
      <c r="M7" s="154">
        <v>3</v>
      </c>
      <c r="N7" s="154">
        <v>5</v>
      </c>
      <c r="O7" s="154">
        <v>5</v>
      </c>
      <c r="P7" s="416">
        <f>ROUND(Y7/AD7*100,0)</f>
        <v>87</v>
      </c>
      <c r="Q7" s="443">
        <f t="shared" si="2"/>
        <v>225000</v>
      </c>
      <c r="R7" s="443">
        <f t="shared" si="3"/>
        <v>4500</v>
      </c>
      <c r="S7" s="281"/>
      <c r="T7" s="281"/>
      <c r="U7" s="281"/>
      <c r="V7" s="278">
        <f t="shared" si="4"/>
        <v>3</v>
      </c>
      <c r="W7" s="278">
        <f t="shared" si="5"/>
        <v>5</v>
      </c>
      <c r="X7" s="278">
        <f t="shared" si="6"/>
        <v>5</v>
      </c>
      <c r="Y7" s="278">
        <f t="shared" si="7"/>
        <v>39</v>
      </c>
      <c r="Z7" s="278"/>
      <c r="AA7" s="278">
        <f t="shared" si="8"/>
        <v>5</v>
      </c>
      <c r="AB7" s="278">
        <f t="shared" si="9"/>
        <v>5</v>
      </c>
      <c r="AC7" s="278">
        <f t="shared" si="10"/>
        <v>5</v>
      </c>
      <c r="AD7" s="278">
        <f t="shared" si="11"/>
        <v>45</v>
      </c>
    </row>
    <row r="8" spans="2:30" ht="25" customHeight="1" x14ac:dyDescent="0.3">
      <c r="B8" s="111" t="s">
        <v>1712</v>
      </c>
      <c r="C8" s="144" t="s">
        <v>1713</v>
      </c>
      <c r="D8" s="145" t="s">
        <v>1708</v>
      </c>
      <c r="E8" s="116" t="s">
        <v>1709</v>
      </c>
      <c r="F8" s="144">
        <f>7+33/60+2.2/3600</f>
        <v>7.5506111111111105</v>
      </c>
      <c r="G8" s="144">
        <f>134+34/60+56.5/3600</f>
        <v>134.58236111111111</v>
      </c>
      <c r="H8" s="112" t="s">
        <v>1710</v>
      </c>
      <c r="I8" s="117">
        <v>61</v>
      </c>
      <c r="J8" s="117"/>
      <c r="K8" s="117" t="s">
        <v>1714</v>
      </c>
      <c r="L8" s="117" t="s">
        <v>163</v>
      </c>
      <c r="M8" s="154">
        <v>5</v>
      </c>
      <c r="N8" s="154">
        <v>5</v>
      </c>
      <c r="O8" s="154">
        <v>5</v>
      </c>
      <c r="P8" s="416">
        <f>ROUND(Y8/AD8*100,0)</f>
        <v>100</v>
      </c>
      <c r="Q8" s="443">
        <f t="shared" si="2"/>
        <v>686250</v>
      </c>
      <c r="R8" s="443">
        <f t="shared" si="3"/>
        <v>13700</v>
      </c>
      <c r="S8" s="281"/>
      <c r="T8" s="281"/>
      <c r="U8" s="281"/>
      <c r="V8" s="278">
        <f t="shared" si="4"/>
        <v>5</v>
      </c>
      <c r="W8" s="278">
        <f t="shared" si="5"/>
        <v>5</v>
      </c>
      <c r="X8" s="278">
        <f t="shared" si="6"/>
        <v>5</v>
      </c>
      <c r="Y8" s="278">
        <f t="shared" si="7"/>
        <v>45</v>
      </c>
      <c r="Z8" s="278"/>
      <c r="AA8" s="278">
        <f t="shared" si="8"/>
        <v>5</v>
      </c>
      <c r="AB8" s="278">
        <f t="shared" si="9"/>
        <v>5</v>
      </c>
      <c r="AC8" s="278">
        <f t="shared" si="10"/>
        <v>5</v>
      </c>
      <c r="AD8" s="278">
        <f t="shared" si="11"/>
        <v>45</v>
      </c>
    </row>
    <row r="9" spans="2:30" ht="25" customHeight="1" x14ac:dyDescent="0.3">
      <c r="B9" s="111" t="s">
        <v>1715</v>
      </c>
      <c r="C9" s="144" t="s">
        <v>1716</v>
      </c>
      <c r="D9" s="145" t="s">
        <v>1708</v>
      </c>
      <c r="E9" s="116" t="s">
        <v>1709</v>
      </c>
      <c r="F9" s="144">
        <f>7+35/60+58.5/3600</f>
        <v>7.5995833333333334</v>
      </c>
      <c r="G9" s="144">
        <f>134+35/60+17.8/3600</f>
        <v>134.58827777777779</v>
      </c>
      <c r="H9" s="112" t="s">
        <v>1710</v>
      </c>
      <c r="I9" s="117">
        <v>20</v>
      </c>
      <c r="J9" s="117">
        <v>0.66</v>
      </c>
      <c r="K9" s="117" t="s">
        <v>1714</v>
      </c>
      <c r="L9" s="117" t="s">
        <v>164</v>
      </c>
      <c r="M9" s="154">
        <v>3</v>
      </c>
      <c r="N9" s="154">
        <v>5</v>
      </c>
      <c r="O9" s="154">
        <v>4</v>
      </c>
      <c r="P9" s="416">
        <f>ROUND(Y9/AD9*100,0)</f>
        <v>80</v>
      </c>
      <c r="Q9" s="443">
        <f t="shared" si="2"/>
        <v>225000</v>
      </c>
      <c r="R9" s="443">
        <f t="shared" si="3"/>
        <v>4500</v>
      </c>
      <c r="S9" s="281"/>
      <c r="T9" s="281"/>
      <c r="U9" s="281"/>
      <c r="V9" s="278">
        <f t="shared" si="4"/>
        <v>3</v>
      </c>
      <c r="W9" s="278">
        <f t="shared" si="5"/>
        <v>5</v>
      </c>
      <c r="X9" s="278">
        <f t="shared" si="6"/>
        <v>4</v>
      </c>
      <c r="Y9" s="278">
        <f t="shared" si="7"/>
        <v>36</v>
      </c>
      <c r="Z9" s="278"/>
      <c r="AA9" s="278">
        <f t="shared" si="8"/>
        <v>5</v>
      </c>
      <c r="AB9" s="278">
        <f t="shared" si="9"/>
        <v>5</v>
      </c>
      <c r="AC9" s="278">
        <f t="shared" si="10"/>
        <v>5</v>
      </c>
      <c r="AD9" s="278">
        <f t="shared" si="11"/>
        <v>45</v>
      </c>
    </row>
    <row r="10" spans="2:30" ht="25" customHeight="1" x14ac:dyDescent="0.3">
      <c r="B10" s="111"/>
      <c r="C10" s="111"/>
      <c r="D10" s="116"/>
      <c r="E10" s="116"/>
      <c r="F10" s="111"/>
      <c r="G10" s="111"/>
      <c r="H10" s="112"/>
      <c r="I10" s="117"/>
      <c r="J10" s="117"/>
      <c r="K10" s="117"/>
      <c r="L10" s="117"/>
      <c r="M10" s="154"/>
      <c r="N10" s="154"/>
      <c r="O10" s="154"/>
      <c r="P10" s="416"/>
      <c r="Q10" s="443">
        <f t="shared" si="2"/>
        <v>0</v>
      </c>
      <c r="R10" s="443">
        <f t="shared" si="3"/>
        <v>0</v>
      </c>
      <c r="S10" s="281"/>
      <c r="T10" s="281"/>
      <c r="U10" s="281"/>
      <c r="V10" s="278">
        <f t="shared" si="4"/>
        <v>0</v>
      </c>
      <c r="W10" s="278">
        <f t="shared" si="5"/>
        <v>0</v>
      </c>
      <c r="X10" s="278">
        <f t="shared" si="6"/>
        <v>0</v>
      </c>
      <c r="Y10" s="278">
        <f t="shared" si="7"/>
        <v>0</v>
      </c>
      <c r="Z10" s="278"/>
      <c r="AA10" s="278">
        <f t="shared" si="8"/>
        <v>0</v>
      </c>
      <c r="AB10" s="278">
        <f t="shared" si="9"/>
        <v>0</v>
      </c>
      <c r="AC10" s="278">
        <f t="shared" si="10"/>
        <v>0</v>
      </c>
      <c r="AD10" s="278">
        <f t="shared" si="11"/>
        <v>0</v>
      </c>
    </row>
    <row r="11" spans="2:30" ht="21.75" customHeight="1" x14ac:dyDescent="0.3">
      <c r="B11" s="111" t="s">
        <v>1087</v>
      </c>
      <c r="C11" s="299" t="s">
        <v>940</v>
      </c>
      <c r="D11" s="116" t="s">
        <v>1717</v>
      </c>
      <c r="E11" s="116" t="s">
        <v>1094</v>
      </c>
      <c r="F11" s="111">
        <f>7+37.49093/60</f>
        <v>7.6248488333333331</v>
      </c>
      <c r="G11" s="111">
        <f>134+38.40088/60</f>
        <v>134.64001466666667</v>
      </c>
      <c r="H11" s="112"/>
      <c r="I11" s="114">
        <v>13.7</v>
      </c>
      <c r="J11" s="114">
        <v>1.1299999999999999</v>
      </c>
      <c r="K11" s="114" t="s">
        <v>941</v>
      </c>
      <c r="L11" s="114" t="s">
        <v>298</v>
      </c>
      <c r="M11" s="134">
        <v>4</v>
      </c>
      <c r="N11" s="134">
        <v>4</v>
      </c>
      <c r="O11" s="134">
        <v>4</v>
      </c>
      <c r="P11" s="416">
        <f>ROUND(Y11/AD11*100,0)</f>
        <v>80</v>
      </c>
      <c r="Q11" s="443">
        <f t="shared" si="2"/>
        <v>154125</v>
      </c>
      <c r="R11" s="443">
        <f t="shared" si="3"/>
        <v>3100</v>
      </c>
      <c r="S11" s="281"/>
      <c r="T11" s="281"/>
      <c r="U11" s="281"/>
      <c r="V11" s="278">
        <f t="shared" si="4"/>
        <v>4</v>
      </c>
      <c r="W11" s="278">
        <f t="shared" si="5"/>
        <v>4</v>
      </c>
      <c r="X11" s="278">
        <f t="shared" si="6"/>
        <v>4</v>
      </c>
      <c r="Y11" s="278">
        <f t="shared" si="7"/>
        <v>36</v>
      </c>
      <c r="Z11" s="278"/>
      <c r="AA11" s="278">
        <f t="shared" si="8"/>
        <v>5</v>
      </c>
      <c r="AB11" s="278">
        <f t="shared" si="9"/>
        <v>5</v>
      </c>
      <c r="AC11" s="278">
        <f t="shared" si="10"/>
        <v>5</v>
      </c>
      <c r="AD11" s="278">
        <f t="shared" si="11"/>
        <v>45</v>
      </c>
    </row>
    <row r="12" spans="2:30" ht="21.75" customHeight="1" x14ac:dyDescent="0.3">
      <c r="B12" s="111" t="s">
        <v>1088</v>
      </c>
      <c r="C12" s="299" t="s">
        <v>942</v>
      </c>
      <c r="D12" s="116" t="s">
        <v>1717</v>
      </c>
      <c r="E12" s="116" t="s">
        <v>1094</v>
      </c>
      <c r="F12" s="111">
        <f>7+38.32952/60</f>
        <v>7.6388253333333331</v>
      </c>
      <c r="G12" s="111">
        <f>134+38.15643/60</f>
        <v>134.6359405</v>
      </c>
      <c r="H12" s="112"/>
      <c r="I12" s="114">
        <v>9.1</v>
      </c>
      <c r="J12" s="114">
        <v>0.71</v>
      </c>
      <c r="K12" s="114" t="s">
        <v>941</v>
      </c>
      <c r="L12" s="114" t="s">
        <v>298</v>
      </c>
      <c r="M12" s="134">
        <v>4</v>
      </c>
      <c r="N12" s="134">
        <v>4</v>
      </c>
      <c r="O12" s="134">
        <v>4</v>
      </c>
      <c r="P12" s="416">
        <f>ROUND(Y12/AD12*100,0)</f>
        <v>80</v>
      </c>
      <c r="Q12" s="443">
        <f t="shared" si="2"/>
        <v>102375</v>
      </c>
      <c r="R12" s="443">
        <f t="shared" si="3"/>
        <v>2000</v>
      </c>
      <c r="S12" s="281"/>
      <c r="T12" s="281"/>
      <c r="U12" s="281"/>
      <c r="V12" s="278">
        <f t="shared" si="4"/>
        <v>4</v>
      </c>
      <c r="W12" s="278">
        <f t="shared" si="5"/>
        <v>4</v>
      </c>
      <c r="X12" s="278">
        <f t="shared" si="6"/>
        <v>4</v>
      </c>
      <c r="Y12" s="278">
        <f t="shared" si="7"/>
        <v>36</v>
      </c>
      <c r="Z12" s="278"/>
      <c r="AA12" s="278">
        <f t="shared" si="8"/>
        <v>5</v>
      </c>
      <c r="AB12" s="278">
        <f t="shared" si="9"/>
        <v>5</v>
      </c>
      <c r="AC12" s="278">
        <f t="shared" si="10"/>
        <v>5</v>
      </c>
      <c r="AD12" s="278">
        <f t="shared" si="11"/>
        <v>45</v>
      </c>
    </row>
    <row r="13" spans="2:30" ht="21.75" customHeight="1" x14ac:dyDescent="0.3">
      <c r="B13" s="111" t="s">
        <v>1089</v>
      </c>
      <c r="C13" s="299" t="s">
        <v>943</v>
      </c>
      <c r="D13" s="116" t="s">
        <v>1717</v>
      </c>
      <c r="E13" s="116" t="s">
        <v>1094</v>
      </c>
      <c r="F13" s="111">
        <f>7+38.25002/60</f>
        <v>7.6375003333333336</v>
      </c>
      <c r="G13" s="111">
        <f>134+38.29926/60</f>
        <v>134.63832099999999</v>
      </c>
      <c r="H13" s="112"/>
      <c r="I13" s="114">
        <v>28.7</v>
      </c>
      <c r="J13" s="114">
        <v>0.83</v>
      </c>
      <c r="K13" s="114" t="s">
        <v>941</v>
      </c>
      <c r="L13" s="114" t="s">
        <v>298</v>
      </c>
      <c r="M13" s="134">
        <v>4</v>
      </c>
      <c r="N13" s="134">
        <v>4</v>
      </c>
      <c r="O13" s="134">
        <v>4</v>
      </c>
      <c r="P13" s="416"/>
      <c r="Q13" s="443">
        <f t="shared" si="2"/>
        <v>322875</v>
      </c>
      <c r="R13" s="443">
        <f t="shared" si="3"/>
        <v>6500</v>
      </c>
      <c r="S13" s="224"/>
      <c r="T13" s="224"/>
      <c r="U13" s="224"/>
      <c r="V13" s="278">
        <f t="shared" si="4"/>
        <v>4</v>
      </c>
      <c r="W13" s="278">
        <f t="shared" si="5"/>
        <v>4</v>
      </c>
      <c r="X13" s="278">
        <f t="shared" si="6"/>
        <v>4</v>
      </c>
      <c r="Y13" s="278">
        <f t="shared" si="7"/>
        <v>36</v>
      </c>
      <c r="Z13" s="278"/>
      <c r="AA13" s="278">
        <f t="shared" si="8"/>
        <v>5</v>
      </c>
      <c r="AB13" s="278">
        <f t="shared" si="9"/>
        <v>5</v>
      </c>
      <c r="AC13" s="278">
        <f t="shared" si="10"/>
        <v>5</v>
      </c>
      <c r="AD13" s="278">
        <f t="shared" si="11"/>
        <v>45</v>
      </c>
    </row>
    <row r="14" spans="2:30" ht="21.75" customHeight="1" x14ac:dyDescent="0.3">
      <c r="B14" s="111" t="s">
        <v>1090</v>
      </c>
      <c r="C14" s="299" t="s">
        <v>944</v>
      </c>
      <c r="D14" s="116" t="s">
        <v>1717</v>
      </c>
      <c r="E14" s="116" t="s">
        <v>1094</v>
      </c>
      <c r="F14" s="111">
        <f>7+37.97968/60</f>
        <v>7.6329946666666668</v>
      </c>
      <c r="G14" s="111">
        <f>134+38.31024/60</f>
        <v>134.63850400000001</v>
      </c>
      <c r="H14" s="112"/>
      <c r="I14" s="114">
        <v>7.6</v>
      </c>
      <c r="J14" s="114">
        <v>1.9</v>
      </c>
      <c r="K14" s="114" t="s">
        <v>941</v>
      </c>
      <c r="L14" s="114" t="s">
        <v>298</v>
      </c>
      <c r="M14" s="134">
        <v>4</v>
      </c>
      <c r="N14" s="134">
        <v>4</v>
      </c>
      <c r="O14" s="134">
        <v>4</v>
      </c>
      <c r="P14" s="416">
        <f>ROUND(Y14/AD14*100,0)</f>
        <v>80</v>
      </c>
      <c r="Q14" s="443">
        <f t="shared" si="2"/>
        <v>85500</v>
      </c>
      <c r="R14" s="443">
        <f t="shared" si="3"/>
        <v>1700</v>
      </c>
      <c r="S14" s="224"/>
      <c r="T14" s="224"/>
      <c r="U14" s="224"/>
      <c r="V14" s="278">
        <f t="shared" si="4"/>
        <v>4</v>
      </c>
      <c r="W14" s="278">
        <f t="shared" si="5"/>
        <v>4</v>
      </c>
      <c r="X14" s="278">
        <f t="shared" si="6"/>
        <v>4</v>
      </c>
      <c r="Y14" s="278">
        <f t="shared" si="7"/>
        <v>36</v>
      </c>
      <c r="Z14" s="278"/>
      <c r="AA14" s="278">
        <f t="shared" si="8"/>
        <v>5</v>
      </c>
      <c r="AB14" s="278">
        <f t="shared" si="9"/>
        <v>5</v>
      </c>
      <c r="AC14" s="278">
        <f t="shared" si="10"/>
        <v>5</v>
      </c>
      <c r="AD14" s="278">
        <f t="shared" si="11"/>
        <v>45</v>
      </c>
    </row>
    <row r="15" spans="2:30" ht="21.75" customHeight="1" x14ac:dyDescent="0.3">
      <c r="B15" s="111" t="s">
        <v>1091</v>
      </c>
      <c r="C15" s="299" t="s">
        <v>945</v>
      </c>
      <c r="D15" s="116" t="s">
        <v>1717</v>
      </c>
      <c r="E15" s="116" t="s">
        <v>1094</v>
      </c>
      <c r="F15" s="111">
        <f>7+37.77128/60</f>
        <v>7.6295213333333329</v>
      </c>
      <c r="G15" s="111">
        <f>134+38.2974/60</f>
        <v>134.63829000000001</v>
      </c>
      <c r="H15" s="112"/>
      <c r="I15" s="114">
        <v>7.6</v>
      </c>
      <c r="J15" s="114">
        <v>1.5</v>
      </c>
      <c r="K15" s="114" t="s">
        <v>941</v>
      </c>
      <c r="L15" s="114" t="s">
        <v>298</v>
      </c>
      <c r="M15" s="134">
        <v>4</v>
      </c>
      <c r="N15" s="134">
        <v>4</v>
      </c>
      <c r="O15" s="134">
        <v>4</v>
      </c>
      <c r="P15" s="416">
        <f>ROUND(Y15/AD15*100,0)</f>
        <v>80</v>
      </c>
      <c r="Q15" s="443">
        <f t="shared" si="2"/>
        <v>85500</v>
      </c>
      <c r="R15" s="443">
        <f t="shared" si="3"/>
        <v>1700</v>
      </c>
      <c r="S15" s="224"/>
      <c r="T15" s="224"/>
      <c r="U15" s="224"/>
      <c r="V15" s="278">
        <f t="shared" si="4"/>
        <v>4</v>
      </c>
      <c r="W15" s="278">
        <f t="shared" si="5"/>
        <v>4</v>
      </c>
      <c r="X15" s="278">
        <f t="shared" si="6"/>
        <v>4</v>
      </c>
      <c r="Y15" s="278">
        <f t="shared" si="7"/>
        <v>36</v>
      </c>
      <c r="Z15" s="278"/>
      <c r="AA15" s="278">
        <f t="shared" si="8"/>
        <v>5</v>
      </c>
      <c r="AB15" s="278">
        <f t="shared" si="9"/>
        <v>5</v>
      </c>
      <c r="AC15" s="278">
        <f t="shared" si="10"/>
        <v>5</v>
      </c>
      <c r="AD15" s="278">
        <f t="shared" si="11"/>
        <v>45</v>
      </c>
    </row>
    <row r="16" spans="2:30" ht="21.75" customHeight="1" x14ac:dyDescent="0.3">
      <c r="B16" s="111" t="s">
        <v>1092</v>
      </c>
      <c r="C16" s="299" t="s">
        <v>946</v>
      </c>
      <c r="D16" s="116" t="s">
        <v>1717</v>
      </c>
      <c r="E16" s="116" t="s">
        <v>1094</v>
      </c>
      <c r="F16" s="111">
        <f>7+37.60045/60</f>
        <v>7.6266741666666666</v>
      </c>
      <c r="G16" s="111">
        <f>134+38.34778/60</f>
        <v>134.63912966666666</v>
      </c>
      <c r="H16" s="112"/>
      <c r="I16" s="114">
        <v>7.3</v>
      </c>
      <c r="J16" s="114">
        <v>0.98</v>
      </c>
      <c r="K16" s="114" t="s">
        <v>941</v>
      </c>
      <c r="L16" s="114" t="s">
        <v>298</v>
      </c>
      <c r="M16" s="134">
        <v>4</v>
      </c>
      <c r="N16" s="134">
        <v>4</v>
      </c>
      <c r="O16" s="134">
        <v>4</v>
      </c>
      <c r="P16" s="416">
        <f>ROUND(Y16/AD16*100,0)</f>
        <v>80</v>
      </c>
      <c r="Q16" s="443">
        <f t="shared" si="2"/>
        <v>82125</v>
      </c>
      <c r="R16" s="443">
        <f t="shared" si="3"/>
        <v>1600</v>
      </c>
      <c r="S16" s="224"/>
      <c r="T16" s="224"/>
      <c r="U16" s="224"/>
      <c r="V16" s="278">
        <f t="shared" si="4"/>
        <v>4</v>
      </c>
      <c r="W16" s="278">
        <f t="shared" si="5"/>
        <v>4</v>
      </c>
      <c r="X16" s="278">
        <f t="shared" si="6"/>
        <v>4</v>
      </c>
      <c r="Y16" s="278">
        <f t="shared" si="7"/>
        <v>36</v>
      </c>
      <c r="Z16" s="278"/>
      <c r="AA16" s="278">
        <f t="shared" si="8"/>
        <v>5</v>
      </c>
      <c r="AB16" s="278">
        <f t="shared" si="9"/>
        <v>5</v>
      </c>
      <c r="AC16" s="278">
        <f t="shared" si="10"/>
        <v>5</v>
      </c>
      <c r="AD16" s="278">
        <f t="shared" si="11"/>
        <v>45</v>
      </c>
    </row>
    <row r="17" spans="2:30" ht="21.75" customHeight="1" x14ac:dyDescent="0.3">
      <c r="B17" s="111" t="s">
        <v>1093</v>
      </c>
      <c r="C17" s="299" t="s">
        <v>947</v>
      </c>
      <c r="D17" s="116" t="s">
        <v>1717</v>
      </c>
      <c r="E17" s="116" t="s">
        <v>1094</v>
      </c>
      <c r="F17" s="111">
        <f>7+37.58469/60</f>
        <v>7.6264114999999997</v>
      </c>
      <c r="G17" s="111">
        <f>134+38.33771/60</f>
        <v>134.63896183333333</v>
      </c>
      <c r="H17" s="112"/>
      <c r="I17" s="114">
        <v>7.3</v>
      </c>
      <c r="J17" s="114">
        <v>1.3</v>
      </c>
      <c r="K17" s="114" t="s">
        <v>941</v>
      </c>
      <c r="L17" s="114" t="s">
        <v>298</v>
      </c>
      <c r="M17" s="134">
        <v>4</v>
      </c>
      <c r="N17" s="134">
        <v>4</v>
      </c>
      <c r="O17" s="134">
        <v>4</v>
      </c>
      <c r="P17" s="416">
        <f>ROUND(Y17/AD17*100,0)</f>
        <v>80</v>
      </c>
      <c r="Q17" s="443">
        <f t="shared" si="2"/>
        <v>82125</v>
      </c>
      <c r="R17" s="443">
        <f t="shared" si="3"/>
        <v>1600</v>
      </c>
      <c r="S17" s="224"/>
      <c r="T17" s="224"/>
      <c r="U17" s="224"/>
      <c r="V17" s="278">
        <f t="shared" si="4"/>
        <v>4</v>
      </c>
      <c r="W17" s="278">
        <f t="shared" si="5"/>
        <v>4</v>
      </c>
      <c r="X17" s="278">
        <f t="shared" si="6"/>
        <v>4</v>
      </c>
      <c r="Y17" s="278">
        <f t="shared" si="7"/>
        <v>36</v>
      </c>
      <c r="Z17" s="278"/>
      <c r="AA17" s="278">
        <f t="shared" si="8"/>
        <v>5</v>
      </c>
      <c r="AB17" s="278">
        <f t="shared" si="9"/>
        <v>5</v>
      </c>
      <c r="AC17" s="278">
        <f t="shared" si="10"/>
        <v>5</v>
      </c>
      <c r="AD17" s="278">
        <f t="shared" si="11"/>
        <v>45</v>
      </c>
    </row>
    <row r="18" spans="2:30" ht="25" customHeight="1" x14ac:dyDescent="0.3">
      <c r="B18" s="111" t="s">
        <v>1718</v>
      </c>
      <c r="C18" s="144" t="s">
        <v>1719</v>
      </c>
      <c r="D18" s="145" t="s">
        <v>1708</v>
      </c>
      <c r="E18" s="116" t="s">
        <v>1094</v>
      </c>
      <c r="F18" s="144">
        <f>7+33/60+3.72/3600</f>
        <v>7.5510333333333328</v>
      </c>
      <c r="G18" s="144">
        <f>134+34/60+43.6/3600</f>
        <v>134.57877777777779</v>
      </c>
      <c r="H18" s="112" t="s">
        <v>1710</v>
      </c>
      <c r="I18" s="117">
        <v>20</v>
      </c>
      <c r="J18" s="117" t="s">
        <v>1720</v>
      </c>
      <c r="K18" s="117" t="s">
        <v>1711</v>
      </c>
      <c r="L18" s="117" t="s">
        <v>163</v>
      </c>
      <c r="M18" s="154">
        <v>3</v>
      </c>
      <c r="N18" s="154">
        <v>5</v>
      </c>
      <c r="O18" s="154">
        <v>5</v>
      </c>
      <c r="P18" s="416">
        <f>ROUND(Y18/AD18*100,0)</f>
        <v>87</v>
      </c>
      <c r="Q18" s="443">
        <f t="shared" si="2"/>
        <v>225000</v>
      </c>
      <c r="R18" s="443">
        <f t="shared" si="3"/>
        <v>4500</v>
      </c>
      <c r="S18" s="224"/>
      <c r="T18" s="224"/>
      <c r="U18" s="224"/>
      <c r="V18" s="278">
        <f t="shared" si="4"/>
        <v>3</v>
      </c>
      <c r="W18" s="278">
        <f t="shared" si="5"/>
        <v>5</v>
      </c>
      <c r="X18" s="278">
        <f t="shared" si="6"/>
        <v>5</v>
      </c>
      <c r="Y18" s="278">
        <f t="shared" si="7"/>
        <v>39</v>
      </c>
      <c r="Z18" s="278"/>
      <c r="AA18" s="278">
        <f t="shared" si="8"/>
        <v>5</v>
      </c>
      <c r="AB18" s="278">
        <f t="shared" si="9"/>
        <v>5</v>
      </c>
      <c r="AC18" s="278">
        <f t="shared" si="10"/>
        <v>5</v>
      </c>
      <c r="AD18" s="278">
        <f t="shared" si="11"/>
        <v>45</v>
      </c>
    </row>
    <row r="19" spans="2:30" ht="25" customHeight="1" x14ac:dyDescent="0.3">
      <c r="B19" s="144"/>
      <c r="C19" s="144"/>
      <c r="D19" s="145"/>
      <c r="E19" s="116"/>
      <c r="F19" s="144"/>
      <c r="G19" s="144"/>
      <c r="H19" s="112"/>
      <c r="I19" s="117"/>
      <c r="J19" s="117"/>
      <c r="K19" s="117"/>
      <c r="L19" s="117"/>
      <c r="M19" s="155"/>
      <c r="N19" s="155"/>
      <c r="O19" s="155"/>
      <c r="P19" s="416"/>
      <c r="Q19" s="443">
        <f t="shared" si="2"/>
        <v>0</v>
      </c>
      <c r="R19" s="443">
        <f t="shared" si="3"/>
        <v>0</v>
      </c>
      <c r="S19" s="224"/>
      <c r="T19" s="224"/>
      <c r="U19" s="224"/>
      <c r="V19" s="278">
        <f t="shared" si="4"/>
        <v>0</v>
      </c>
      <c r="W19" s="278">
        <f t="shared" si="5"/>
        <v>0</v>
      </c>
      <c r="X19" s="278">
        <f t="shared" si="6"/>
        <v>0</v>
      </c>
      <c r="Y19" s="278">
        <f t="shared" si="7"/>
        <v>0</v>
      </c>
      <c r="Z19" s="278"/>
      <c r="AA19" s="278">
        <f t="shared" si="8"/>
        <v>0</v>
      </c>
      <c r="AB19" s="278">
        <f t="shared" si="9"/>
        <v>0</v>
      </c>
      <c r="AC19" s="278">
        <f t="shared" si="10"/>
        <v>0</v>
      </c>
      <c r="AD19" s="278">
        <f t="shared" si="11"/>
        <v>0</v>
      </c>
    </row>
    <row r="20" spans="2:30" ht="25" customHeight="1" x14ac:dyDescent="0.3">
      <c r="B20" s="146" t="s">
        <v>1721</v>
      </c>
      <c r="C20" s="144" t="s">
        <v>1722</v>
      </c>
      <c r="D20" s="145" t="s">
        <v>1723</v>
      </c>
      <c r="E20" s="116" t="s">
        <v>1724</v>
      </c>
      <c r="F20" s="144">
        <f>7+23/60+38/3600</f>
        <v>7.3938888888888892</v>
      </c>
      <c r="G20" s="144">
        <f>134+30/60+47/3600</f>
        <v>134.51305555555555</v>
      </c>
      <c r="H20" s="112" t="s">
        <v>1710</v>
      </c>
      <c r="I20" s="117">
        <v>19</v>
      </c>
      <c r="J20" s="117">
        <v>2.62</v>
      </c>
      <c r="K20" s="117" t="s">
        <v>1725</v>
      </c>
      <c r="L20" s="117" t="s">
        <v>163</v>
      </c>
      <c r="M20" s="155">
        <v>4</v>
      </c>
      <c r="N20" s="155">
        <v>5</v>
      </c>
      <c r="O20" s="155">
        <v>5</v>
      </c>
      <c r="P20" s="416">
        <f t="shared" ref="P20:P29" si="12">ROUND(Y20/AD20*100,0)</f>
        <v>93</v>
      </c>
      <c r="Q20" s="443">
        <f t="shared" si="2"/>
        <v>213750</v>
      </c>
      <c r="R20" s="443">
        <f t="shared" si="3"/>
        <v>4300</v>
      </c>
      <c r="S20" s="224"/>
      <c r="T20" s="224"/>
      <c r="U20" s="224"/>
      <c r="V20" s="278">
        <f t="shared" si="4"/>
        <v>4</v>
      </c>
      <c r="W20" s="278">
        <f t="shared" si="5"/>
        <v>5</v>
      </c>
      <c r="X20" s="278">
        <f t="shared" si="6"/>
        <v>5</v>
      </c>
      <c r="Y20" s="278">
        <f t="shared" si="7"/>
        <v>42</v>
      </c>
      <c r="Z20" s="278"/>
      <c r="AA20" s="278">
        <f t="shared" si="8"/>
        <v>5</v>
      </c>
      <c r="AB20" s="278">
        <f t="shared" si="9"/>
        <v>5</v>
      </c>
      <c r="AC20" s="278">
        <f t="shared" si="10"/>
        <v>5</v>
      </c>
      <c r="AD20" s="278">
        <f t="shared" si="11"/>
        <v>45</v>
      </c>
    </row>
    <row r="21" spans="2:30" ht="25" customHeight="1" x14ac:dyDescent="0.3">
      <c r="B21" s="146" t="s">
        <v>1726</v>
      </c>
      <c r="C21" s="144" t="s">
        <v>1727</v>
      </c>
      <c r="D21" s="145" t="s">
        <v>1723</v>
      </c>
      <c r="E21" s="116" t="s">
        <v>1728</v>
      </c>
      <c r="F21" s="144">
        <f>7+21/60+12/3600</f>
        <v>7.3533333333333326</v>
      </c>
      <c r="G21" s="144">
        <f>134+29/60+58/3600</f>
        <v>134.49944444444444</v>
      </c>
      <c r="H21" s="112" t="s">
        <v>1710</v>
      </c>
      <c r="I21" s="117">
        <v>23</v>
      </c>
      <c r="J21" s="117">
        <v>3.34</v>
      </c>
      <c r="K21" s="117" t="s">
        <v>1729</v>
      </c>
      <c r="L21" s="117" t="s">
        <v>163</v>
      </c>
      <c r="M21" s="155">
        <v>5</v>
      </c>
      <c r="N21" s="155">
        <v>3</v>
      </c>
      <c r="O21" s="155">
        <v>4</v>
      </c>
      <c r="P21" s="416">
        <f t="shared" si="12"/>
        <v>80</v>
      </c>
      <c r="Q21" s="443">
        <f t="shared" si="2"/>
        <v>258750</v>
      </c>
      <c r="R21" s="443">
        <f t="shared" si="3"/>
        <v>5200</v>
      </c>
      <c r="S21" s="224"/>
      <c r="T21" s="224"/>
      <c r="U21" s="224"/>
      <c r="V21" s="278">
        <f t="shared" si="4"/>
        <v>5</v>
      </c>
      <c r="W21" s="278">
        <f t="shared" si="5"/>
        <v>3</v>
      </c>
      <c r="X21" s="278">
        <f t="shared" si="6"/>
        <v>4</v>
      </c>
      <c r="Y21" s="278">
        <f t="shared" si="7"/>
        <v>36</v>
      </c>
      <c r="Z21" s="278"/>
      <c r="AA21" s="278">
        <f t="shared" si="8"/>
        <v>5</v>
      </c>
      <c r="AB21" s="278">
        <f t="shared" si="9"/>
        <v>5</v>
      </c>
      <c r="AC21" s="278">
        <f t="shared" si="10"/>
        <v>5</v>
      </c>
      <c r="AD21" s="278">
        <f t="shared" si="11"/>
        <v>45</v>
      </c>
    </row>
    <row r="22" spans="2:30" ht="25" customHeight="1" x14ac:dyDescent="0.3">
      <c r="B22" s="146" t="s">
        <v>1730</v>
      </c>
      <c r="C22" s="144" t="s">
        <v>1731</v>
      </c>
      <c r="D22" s="145" t="s">
        <v>1723</v>
      </c>
      <c r="E22" s="116" t="s">
        <v>1724</v>
      </c>
      <c r="F22" s="144">
        <f>7+24/60+27.92/3600</f>
        <v>7.4077555555555561</v>
      </c>
      <c r="G22" s="144">
        <f>134+30/60+34.6/3600</f>
        <v>134.5096111111111</v>
      </c>
      <c r="H22" s="112" t="s">
        <v>1710</v>
      </c>
      <c r="I22" s="117">
        <v>17</v>
      </c>
      <c r="J22" s="117">
        <v>0.66</v>
      </c>
      <c r="K22" s="117" t="s">
        <v>1732</v>
      </c>
      <c r="L22" s="117" t="s">
        <v>163</v>
      </c>
      <c r="M22" s="155">
        <v>1</v>
      </c>
      <c r="N22" s="155">
        <v>5</v>
      </c>
      <c r="O22" s="155">
        <v>3</v>
      </c>
      <c r="P22" s="416">
        <f t="shared" si="12"/>
        <v>60</v>
      </c>
      <c r="Q22" s="443">
        <f t="shared" si="2"/>
        <v>191250</v>
      </c>
      <c r="R22" s="443">
        <f t="shared" si="3"/>
        <v>3800</v>
      </c>
      <c r="S22" s="224"/>
      <c r="T22" s="224"/>
      <c r="U22" s="224"/>
      <c r="V22" s="278">
        <f t="shared" si="4"/>
        <v>1</v>
      </c>
      <c r="W22" s="278">
        <f t="shared" si="5"/>
        <v>5</v>
      </c>
      <c r="X22" s="278">
        <f t="shared" si="6"/>
        <v>3</v>
      </c>
      <c r="Y22" s="278">
        <f t="shared" si="7"/>
        <v>27</v>
      </c>
      <c r="Z22" s="278"/>
      <c r="AA22" s="278">
        <f t="shared" si="8"/>
        <v>5</v>
      </c>
      <c r="AB22" s="278">
        <f t="shared" si="9"/>
        <v>5</v>
      </c>
      <c r="AC22" s="278">
        <f t="shared" si="10"/>
        <v>5</v>
      </c>
      <c r="AD22" s="278">
        <f t="shared" si="11"/>
        <v>45</v>
      </c>
    </row>
    <row r="23" spans="2:30" ht="25" customHeight="1" x14ac:dyDescent="0.3">
      <c r="B23" s="146" t="s">
        <v>1733</v>
      </c>
      <c r="C23" s="144" t="s">
        <v>1734</v>
      </c>
      <c r="D23" s="145" t="s">
        <v>1723</v>
      </c>
      <c r="E23" s="116" t="s">
        <v>1735</v>
      </c>
      <c r="F23" s="144">
        <f>7+24/60+36.06/3600</f>
        <v>7.4100166666666674</v>
      </c>
      <c r="G23" s="144">
        <f>134+30/60+38.27/3600</f>
        <v>134.51063055555557</v>
      </c>
      <c r="H23" s="112" t="s">
        <v>1710</v>
      </c>
      <c r="I23" s="117">
        <v>30</v>
      </c>
      <c r="J23" s="117">
        <v>0.66</v>
      </c>
      <c r="K23" s="117" t="s">
        <v>1732</v>
      </c>
      <c r="L23" s="117" t="s">
        <v>163</v>
      </c>
      <c r="M23" s="155">
        <v>2</v>
      </c>
      <c r="N23" s="155">
        <v>5</v>
      </c>
      <c r="O23" s="155">
        <v>4</v>
      </c>
      <c r="P23" s="416">
        <f t="shared" si="12"/>
        <v>73</v>
      </c>
      <c r="Q23" s="443">
        <f t="shared" si="2"/>
        <v>337500</v>
      </c>
      <c r="R23" s="443">
        <f t="shared" si="3"/>
        <v>6800</v>
      </c>
      <c r="S23" s="224"/>
      <c r="T23" s="224"/>
      <c r="U23" s="224"/>
      <c r="V23" s="278">
        <f t="shared" si="4"/>
        <v>2</v>
      </c>
      <c r="W23" s="278">
        <f t="shared" si="5"/>
        <v>5</v>
      </c>
      <c r="X23" s="278">
        <f t="shared" si="6"/>
        <v>4</v>
      </c>
      <c r="Y23" s="278">
        <f t="shared" si="7"/>
        <v>33</v>
      </c>
      <c r="Z23" s="278"/>
      <c r="AA23" s="278">
        <f t="shared" si="8"/>
        <v>5</v>
      </c>
      <c r="AB23" s="278">
        <f t="shared" si="9"/>
        <v>5</v>
      </c>
      <c r="AC23" s="278">
        <f t="shared" si="10"/>
        <v>5</v>
      </c>
      <c r="AD23" s="278">
        <f t="shared" si="11"/>
        <v>45</v>
      </c>
    </row>
    <row r="24" spans="2:30" ht="25" customHeight="1" x14ac:dyDescent="0.3">
      <c r="B24" s="146" t="s">
        <v>1736</v>
      </c>
      <c r="C24" s="144" t="s">
        <v>1737</v>
      </c>
      <c r="D24" s="145" t="s">
        <v>1723</v>
      </c>
      <c r="E24" s="116" t="s">
        <v>1735</v>
      </c>
      <c r="F24" s="144">
        <f>7+24/60+36.85/3600</f>
        <v>7.4102361111111117</v>
      </c>
      <c r="G24" s="144">
        <f>134+30/60+50.91/3600</f>
        <v>134.51414166666666</v>
      </c>
      <c r="H24" s="112" t="s">
        <v>1710</v>
      </c>
      <c r="I24" s="117">
        <v>29</v>
      </c>
      <c r="J24" s="117">
        <v>1.32</v>
      </c>
      <c r="K24" s="117" t="s">
        <v>1738</v>
      </c>
      <c r="L24" s="117" t="s">
        <v>163</v>
      </c>
      <c r="M24" s="155">
        <v>3</v>
      </c>
      <c r="N24" s="155">
        <v>3</v>
      </c>
      <c r="O24" s="155">
        <v>4</v>
      </c>
      <c r="P24" s="416">
        <f t="shared" si="12"/>
        <v>67</v>
      </c>
      <c r="Q24" s="443">
        <f t="shared" si="2"/>
        <v>326250</v>
      </c>
      <c r="R24" s="443">
        <f t="shared" si="3"/>
        <v>6500</v>
      </c>
      <c r="S24" s="224"/>
      <c r="T24" s="224"/>
      <c r="U24" s="224"/>
      <c r="V24" s="278">
        <f t="shared" si="4"/>
        <v>3</v>
      </c>
      <c r="W24" s="278">
        <f t="shared" si="5"/>
        <v>3</v>
      </c>
      <c r="X24" s="278">
        <f t="shared" si="6"/>
        <v>4</v>
      </c>
      <c r="Y24" s="278">
        <f t="shared" si="7"/>
        <v>30</v>
      </c>
      <c r="Z24" s="278"/>
      <c r="AA24" s="278">
        <f t="shared" si="8"/>
        <v>5</v>
      </c>
      <c r="AB24" s="278">
        <f t="shared" si="9"/>
        <v>5</v>
      </c>
      <c r="AC24" s="278">
        <f t="shared" si="10"/>
        <v>5</v>
      </c>
      <c r="AD24" s="278">
        <f t="shared" si="11"/>
        <v>45</v>
      </c>
    </row>
    <row r="25" spans="2:30" ht="25" customHeight="1" x14ac:dyDescent="0.3">
      <c r="B25" s="146" t="s">
        <v>1739</v>
      </c>
      <c r="C25" s="144" t="s">
        <v>1740</v>
      </c>
      <c r="D25" s="145" t="s">
        <v>1723</v>
      </c>
      <c r="E25" s="116" t="s">
        <v>1735</v>
      </c>
      <c r="F25" s="144">
        <f>7+25/60+32.36/3600</f>
        <v>7.4256555555555561</v>
      </c>
      <c r="G25" s="144">
        <f>134+31/60+33.65/3600</f>
        <v>134.52601388888891</v>
      </c>
      <c r="H25" s="112" t="s">
        <v>1710</v>
      </c>
      <c r="I25" s="117">
        <v>20.5</v>
      </c>
      <c r="J25" s="117">
        <v>1.32</v>
      </c>
      <c r="K25" s="117" t="s">
        <v>1738</v>
      </c>
      <c r="L25" s="117" t="s">
        <v>163</v>
      </c>
      <c r="M25" s="155">
        <v>2</v>
      </c>
      <c r="N25" s="155">
        <v>5</v>
      </c>
      <c r="O25" s="155">
        <v>4</v>
      </c>
      <c r="P25" s="416">
        <f t="shared" si="12"/>
        <v>73</v>
      </c>
      <c r="Q25" s="443">
        <f t="shared" si="2"/>
        <v>230625</v>
      </c>
      <c r="R25" s="443">
        <f t="shared" si="3"/>
        <v>4600</v>
      </c>
      <c r="S25" s="224"/>
      <c r="T25" s="224"/>
      <c r="U25" s="224"/>
      <c r="V25" s="278">
        <f t="shared" si="4"/>
        <v>2</v>
      </c>
      <c r="W25" s="278">
        <f t="shared" si="5"/>
        <v>5</v>
      </c>
      <c r="X25" s="278">
        <f t="shared" si="6"/>
        <v>4</v>
      </c>
      <c r="Y25" s="278">
        <f t="shared" si="7"/>
        <v>33</v>
      </c>
      <c r="Z25" s="278"/>
      <c r="AA25" s="278">
        <f t="shared" si="8"/>
        <v>5</v>
      </c>
      <c r="AB25" s="278">
        <f t="shared" si="9"/>
        <v>5</v>
      </c>
      <c r="AC25" s="278">
        <f t="shared" si="10"/>
        <v>5</v>
      </c>
      <c r="AD25" s="278">
        <f t="shared" si="11"/>
        <v>45</v>
      </c>
    </row>
    <row r="26" spans="2:30" ht="25" customHeight="1" x14ac:dyDescent="0.3">
      <c r="B26" s="146" t="s">
        <v>1741</v>
      </c>
      <c r="C26" s="144" t="s">
        <v>1742</v>
      </c>
      <c r="D26" s="145" t="s">
        <v>1723</v>
      </c>
      <c r="E26" s="116" t="s">
        <v>1735</v>
      </c>
      <c r="F26" s="144">
        <f>7+26/60+20.33/3600</f>
        <v>7.4389805555555562</v>
      </c>
      <c r="G26" s="144">
        <f>134+31/60+50.63/3600</f>
        <v>134.53073055555558</v>
      </c>
      <c r="H26" s="112" t="s">
        <v>1710</v>
      </c>
      <c r="I26" s="117">
        <v>25.1</v>
      </c>
      <c r="J26" s="117">
        <v>1.32</v>
      </c>
      <c r="K26" s="117" t="s">
        <v>1738</v>
      </c>
      <c r="L26" s="117" t="s">
        <v>163</v>
      </c>
      <c r="M26" s="154">
        <v>4</v>
      </c>
      <c r="N26" s="154">
        <v>5</v>
      </c>
      <c r="O26" s="154">
        <v>4</v>
      </c>
      <c r="P26" s="416">
        <f t="shared" si="12"/>
        <v>87</v>
      </c>
      <c r="Q26" s="443">
        <f t="shared" si="2"/>
        <v>282375</v>
      </c>
      <c r="R26" s="443">
        <f t="shared" si="3"/>
        <v>5600</v>
      </c>
      <c r="S26" s="224"/>
      <c r="T26" s="224"/>
      <c r="U26" s="224"/>
      <c r="V26" s="278">
        <f t="shared" si="4"/>
        <v>4</v>
      </c>
      <c r="W26" s="278">
        <f t="shared" si="5"/>
        <v>5</v>
      </c>
      <c r="X26" s="278">
        <f t="shared" si="6"/>
        <v>4</v>
      </c>
      <c r="Y26" s="278">
        <f t="shared" si="7"/>
        <v>39</v>
      </c>
      <c r="Z26" s="278"/>
      <c r="AA26" s="278">
        <f t="shared" si="8"/>
        <v>5</v>
      </c>
      <c r="AB26" s="278">
        <f t="shared" si="9"/>
        <v>5</v>
      </c>
      <c r="AC26" s="278">
        <f t="shared" si="10"/>
        <v>5</v>
      </c>
      <c r="AD26" s="278">
        <f t="shared" si="11"/>
        <v>45</v>
      </c>
    </row>
    <row r="27" spans="2:30" ht="25" customHeight="1" x14ac:dyDescent="0.3">
      <c r="B27" s="146" t="s">
        <v>1743</v>
      </c>
      <c r="C27" s="144" t="s">
        <v>1744</v>
      </c>
      <c r="D27" s="145" t="s">
        <v>1723</v>
      </c>
      <c r="E27" s="116" t="s">
        <v>1735</v>
      </c>
      <c r="F27" s="144">
        <f>7+26/60+34.75/3600</f>
        <v>7.4429861111111117</v>
      </c>
      <c r="G27" s="144">
        <f>134+31/60+53.15/3600</f>
        <v>134.53143055555557</v>
      </c>
      <c r="H27" s="112" t="s">
        <v>1710</v>
      </c>
      <c r="I27" s="117">
        <v>25.1</v>
      </c>
      <c r="J27" s="117">
        <v>1.32</v>
      </c>
      <c r="K27" s="117" t="s">
        <v>1738</v>
      </c>
      <c r="L27" s="117" t="s">
        <v>163</v>
      </c>
      <c r="M27" s="154">
        <v>4</v>
      </c>
      <c r="N27" s="154">
        <v>5</v>
      </c>
      <c r="O27" s="154">
        <v>4</v>
      </c>
      <c r="P27" s="416">
        <f t="shared" si="12"/>
        <v>87</v>
      </c>
      <c r="Q27" s="443">
        <f t="shared" si="2"/>
        <v>282375</v>
      </c>
      <c r="R27" s="443">
        <f t="shared" si="3"/>
        <v>5600</v>
      </c>
      <c r="S27" s="224"/>
      <c r="T27" s="224"/>
      <c r="U27" s="224"/>
      <c r="V27" s="278">
        <f t="shared" si="4"/>
        <v>4</v>
      </c>
      <c r="W27" s="278">
        <f t="shared" si="5"/>
        <v>5</v>
      </c>
      <c r="X27" s="278">
        <f t="shared" si="6"/>
        <v>4</v>
      </c>
      <c r="Y27" s="278">
        <f t="shared" si="7"/>
        <v>39</v>
      </c>
      <c r="Z27" s="278"/>
      <c r="AA27" s="278">
        <f t="shared" si="8"/>
        <v>5</v>
      </c>
      <c r="AB27" s="278">
        <f t="shared" si="9"/>
        <v>5</v>
      </c>
      <c r="AC27" s="278">
        <f t="shared" si="10"/>
        <v>5</v>
      </c>
      <c r="AD27" s="278">
        <f t="shared" si="11"/>
        <v>45</v>
      </c>
    </row>
    <row r="28" spans="2:30" ht="25" customHeight="1" x14ac:dyDescent="0.3">
      <c r="B28" s="146" t="s">
        <v>1745</v>
      </c>
      <c r="C28" s="144" t="s">
        <v>1746</v>
      </c>
      <c r="D28" s="145" t="s">
        <v>1723</v>
      </c>
      <c r="E28" s="116" t="s">
        <v>1735</v>
      </c>
      <c r="F28" s="144">
        <f>7+26/60+36.21/3600</f>
        <v>7.4433916666666669</v>
      </c>
      <c r="G28" s="144">
        <f>134+31/60+54.03/3600</f>
        <v>134.53167500000001</v>
      </c>
      <c r="H28" s="112" t="s">
        <v>1710</v>
      </c>
      <c r="I28" s="117">
        <v>25.1</v>
      </c>
      <c r="J28" s="117">
        <v>0.66</v>
      </c>
      <c r="K28" s="117" t="s">
        <v>1732</v>
      </c>
      <c r="L28" s="117" t="s">
        <v>163</v>
      </c>
      <c r="M28" s="154">
        <v>4</v>
      </c>
      <c r="N28" s="154">
        <v>5</v>
      </c>
      <c r="O28" s="154">
        <v>4</v>
      </c>
      <c r="P28" s="416">
        <f t="shared" si="12"/>
        <v>87</v>
      </c>
      <c r="Q28" s="443">
        <f t="shared" si="2"/>
        <v>282375</v>
      </c>
      <c r="R28" s="443">
        <f t="shared" si="3"/>
        <v>5600</v>
      </c>
      <c r="S28" s="224"/>
      <c r="T28" s="224"/>
      <c r="U28" s="224"/>
      <c r="V28" s="278">
        <f t="shared" si="4"/>
        <v>4</v>
      </c>
      <c r="W28" s="278">
        <f t="shared" si="5"/>
        <v>5</v>
      </c>
      <c r="X28" s="278">
        <f t="shared" si="6"/>
        <v>4</v>
      </c>
      <c r="Y28" s="278">
        <f t="shared" si="7"/>
        <v>39</v>
      </c>
      <c r="Z28" s="278"/>
      <c r="AA28" s="278">
        <f t="shared" si="8"/>
        <v>5</v>
      </c>
      <c r="AB28" s="278">
        <f t="shared" si="9"/>
        <v>5</v>
      </c>
      <c r="AC28" s="278">
        <f t="shared" si="10"/>
        <v>5</v>
      </c>
      <c r="AD28" s="278">
        <f t="shared" si="11"/>
        <v>45</v>
      </c>
    </row>
    <row r="29" spans="2:30" ht="25" customHeight="1" x14ac:dyDescent="0.3">
      <c r="B29" s="146" t="s">
        <v>1747</v>
      </c>
      <c r="C29" s="144" t="s">
        <v>1748</v>
      </c>
      <c r="D29" s="145" t="s">
        <v>1723</v>
      </c>
      <c r="E29" s="116" t="s">
        <v>1735</v>
      </c>
      <c r="F29" s="144">
        <f>7+26/60+38.82/3600</f>
        <v>7.4441166666666669</v>
      </c>
      <c r="G29" s="144">
        <f>134+31/60+54.68/3600</f>
        <v>134.53185555555558</v>
      </c>
      <c r="H29" s="112" t="s">
        <v>1710</v>
      </c>
      <c r="I29" s="117">
        <v>25.1</v>
      </c>
      <c r="J29" s="117">
        <v>0.66</v>
      </c>
      <c r="K29" s="117" t="s">
        <v>1732</v>
      </c>
      <c r="L29" s="117" t="s">
        <v>163</v>
      </c>
      <c r="M29" s="154">
        <v>4</v>
      </c>
      <c r="N29" s="154">
        <v>5</v>
      </c>
      <c r="O29" s="154">
        <v>4</v>
      </c>
      <c r="P29" s="416">
        <f t="shared" si="12"/>
        <v>87</v>
      </c>
      <c r="Q29" s="443">
        <f t="shared" si="2"/>
        <v>282375</v>
      </c>
      <c r="R29" s="443">
        <f t="shared" si="3"/>
        <v>5600</v>
      </c>
      <c r="S29" s="224"/>
      <c r="T29" s="224"/>
      <c r="U29" s="224"/>
      <c r="V29" s="278">
        <f t="shared" si="4"/>
        <v>4</v>
      </c>
      <c r="W29" s="278">
        <f t="shared" si="5"/>
        <v>5</v>
      </c>
      <c r="X29" s="278">
        <f t="shared" si="6"/>
        <v>4</v>
      </c>
      <c r="Y29" s="278">
        <f t="shared" si="7"/>
        <v>39</v>
      </c>
      <c r="Z29" s="278"/>
      <c r="AA29" s="278">
        <f t="shared" si="8"/>
        <v>5</v>
      </c>
      <c r="AB29" s="278">
        <f t="shared" si="9"/>
        <v>5</v>
      </c>
      <c r="AC29" s="278">
        <f t="shared" si="10"/>
        <v>5</v>
      </c>
      <c r="AD29" s="278">
        <f t="shared" si="11"/>
        <v>45</v>
      </c>
    </row>
    <row r="30" spans="2:30" ht="25" customHeight="1" x14ac:dyDescent="0.3">
      <c r="B30" s="146" t="s">
        <v>1749</v>
      </c>
      <c r="C30" s="144" t="s">
        <v>1750</v>
      </c>
      <c r="D30" s="145" t="s">
        <v>1723</v>
      </c>
      <c r="E30" s="116" t="s">
        <v>1735</v>
      </c>
      <c r="F30" s="144">
        <f>7+26/60+41.75/3600</f>
        <v>7.4449305555555556</v>
      </c>
      <c r="G30" s="144">
        <f>134+31/60+54.19/3600</f>
        <v>134.53171944444446</v>
      </c>
      <c r="H30" s="112" t="s">
        <v>1710</v>
      </c>
      <c r="I30" s="117">
        <v>25.1</v>
      </c>
      <c r="J30" s="117">
        <v>0.66</v>
      </c>
      <c r="K30" s="117" t="s">
        <v>1732</v>
      </c>
      <c r="L30" s="117" t="s">
        <v>163</v>
      </c>
      <c r="M30" s="154">
        <v>4</v>
      </c>
      <c r="N30" s="154">
        <v>5</v>
      </c>
      <c r="O30" s="154">
        <v>4</v>
      </c>
      <c r="P30" s="416">
        <f t="shared" ref="P30:P43" si="13">ROUND(Y30/AD30*100,0)</f>
        <v>87</v>
      </c>
      <c r="Q30" s="443">
        <f t="shared" si="2"/>
        <v>282375</v>
      </c>
      <c r="R30" s="443">
        <f t="shared" si="3"/>
        <v>5600</v>
      </c>
      <c r="S30" s="224"/>
      <c r="T30" s="224"/>
      <c r="U30" s="224"/>
      <c r="V30" s="278">
        <f t="shared" si="4"/>
        <v>4</v>
      </c>
      <c r="W30" s="278">
        <f t="shared" si="5"/>
        <v>5</v>
      </c>
      <c r="X30" s="278">
        <f t="shared" si="6"/>
        <v>4</v>
      </c>
      <c r="Y30" s="278">
        <f t="shared" si="7"/>
        <v>39</v>
      </c>
      <c r="Z30" s="278"/>
      <c r="AA30" s="278">
        <f t="shared" si="8"/>
        <v>5</v>
      </c>
      <c r="AB30" s="278">
        <f t="shared" si="9"/>
        <v>5</v>
      </c>
      <c r="AC30" s="278">
        <f t="shared" si="10"/>
        <v>5</v>
      </c>
      <c r="AD30" s="278">
        <f t="shared" si="11"/>
        <v>45</v>
      </c>
    </row>
    <row r="31" spans="2:30" ht="25" customHeight="1" x14ac:dyDescent="0.3">
      <c r="B31" s="146" t="s">
        <v>1751</v>
      </c>
      <c r="C31" s="144" t="s">
        <v>1752</v>
      </c>
      <c r="D31" s="145" t="s">
        <v>1723</v>
      </c>
      <c r="E31" s="116" t="s">
        <v>1735</v>
      </c>
      <c r="F31" s="144">
        <f>7+26/60+45.31/3600</f>
        <v>7.4459194444444448</v>
      </c>
      <c r="G31" s="144">
        <f>134+31/60+52.06/3600</f>
        <v>134.53112777777778</v>
      </c>
      <c r="H31" s="112" t="s">
        <v>1710</v>
      </c>
      <c r="I31" s="117">
        <v>25.1</v>
      </c>
      <c r="J31" s="117">
        <v>0.66</v>
      </c>
      <c r="K31" s="117" t="s">
        <v>1732</v>
      </c>
      <c r="L31" s="117" t="s">
        <v>163</v>
      </c>
      <c r="M31" s="154">
        <v>4</v>
      </c>
      <c r="N31" s="154">
        <v>5</v>
      </c>
      <c r="O31" s="154">
        <v>4</v>
      </c>
      <c r="P31" s="416">
        <f t="shared" si="13"/>
        <v>87</v>
      </c>
      <c r="Q31" s="443">
        <f t="shared" si="2"/>
        <v>282375</v>
      </c>
      <c r="R31" s="443">
        <f t="shared" si="3"/>
        <v>5600</v>
      </c>
      <c r="S31" s="224"/>
      <c r="T31" s="224"/>
      <c r="U31" s="224"/>
      <c r="V31" s="278">
        <f t="shared" si="4"/>
        <v>4</v>
      </c>
      <c r="W31" s="278">
        <f t="shared" si="5"/>
        <v>5</v>
      </c>
      <c r="X31" s="278">
        <f t="shared" si="6"/>
        <v>4</v>
      </c>
      <c r="Y31" s="278">
        <f t="shared" si="7"/>
        <v>39</v>
      </c>
      <c r="Z31" s="278"/>
      <c r="AA31" s="278">
        <f t="shared" si="8"/>
        <v>5</v>
      </c>
      <c r="AB31" s="278">
        <f t="shared" si="9"/>
        <v>5</v>
      </c>
      <c r="AC31" s="278">
        <f t="shared" si="10"/>
        <v>5</v>
      </c>
      <c r="AD31" s="278">
        <f t="shared" si="11"/>
        <v>45</v>
      </c>
    </row>
    <row r="32" spans="2:30" ht="25" customHeight="1" x14ac:dyDescent="0.3">
      <c r="B32" s="146" t="s">
        <v>1753</v>
      </c>
      <c r="C32" s="144" t="s">
        <v>1754</v>
      </c>
      <c r="D32" s="145" t="s">
        <v>1723</v>
      </c>
      <c r="E32" s="116" t="s">
        <v>1735</v>
      </c>
      <c r="F32" s="144">
        <f>7+26/60+48.4/3600</f>
        <v>7.4467777777777782</v>
      </c>
      <c r="G32" s="144">
        <f>134+31/60+50.08/3600</f>
        <v>134.53057777777778</v>
      </c>
      <c r="H32" s="112" t="s">
        <v>1710</v>
      </c>
      <c r="I32" s="117">
        <v>25.1</v>
      </c>
      <c r="J32" s="117">
        <v>0.66</v>
      </c>
      <c r="K32" s="117" t="s">
        <v>1732</v>
      </c>
      <c r="L32" s="117" t="s">
        <v>163</v>
      </c>
      <c r="M32" s="154">
        <v>4</v>
      </c>
      <c r="N32" s="154">
        <v>5</v>
      </c>
      <c r="O32" s="154">
        <v>4</v>
      </c>
      <c r="P32" s="416">
        <f t="shared" si="13"/>
        <v>87</v>
      </c>
      <c r="Q32" s="443">
        <f t="shared" si="2"/>
        <v>282375</v>
      </c>
      <c r="R32" s="443">
        <f t="shared" si="3"/>
        <v>5600</v>
      </c>
      <c r="S32" s="224"/>
      <c r="T32" s="224"/>
      <c r="U32" s="224"/>
      <c r="V32" s="278">
        <f t="shared" si="4"/>
        <v>4</v>
      </c>
      <c r="W32" s="278">
        <f t="shared" si="5"/>
        <v>5</v>
      </c>
      <c r="X32" s="278">
        <f t="shared" si="6"/>
        <v>4</v>
      </c>
      <c r="Y32" s="278">
        <f t="shared" si="7"/>
        <v>39</v>
      </c>
      <c r="Z32" s="278"/>
      <c r="AA32" s="278">
        <f t="shared" si="8"/>
        <v>5</v>
      </c>
      <c r="AB32" s="278">
        <f t="shared" si="9"/>
        <v>5</v>
      </c>
      <c r="AC32" s="278">
        <f t="shared" si="10"/>
        <v>5</v>
      </c>
      <c r="AD32" s="278">
        <f t="shared" si="11"/>
        <v>45</v>
      </c>
    </row>
    <row r="33" spans="2:30" ht="25" customHeight="1" x14ac:dyDescent="0.3">
      <c r="B33" s="146" t="s">
        <v>1755</v>
      </c>
      <c r="C33" s="144" t="s">
        <v>1756</v>
      </c>
      <c r="D33" s="116" t="s">
        <v>1757</v>
      </c>
      <c r="E33" s="116" t="s">
        <v>1758</v>
      </c>
      <c r="F33" s="144">
        <f>7+27/60+21/3600</f>
        <v>7.4558333333333335</v>
      </c>
      <c r="G33" s="144">
        <f>134+30/60+17/3600</f>
        <v>134.50472222222223</v>
      </c>
      <c r="H33" s="112" t="s">
        <v>1759</v>
      </c>
      <c r="I33" s="117">
        <v>1.8</v>
      </c>
      <c r="J33" s="117" t="s">
        <v>1720</v>
      </c>
      <c r="K33" s="117" t="s">
        <v>1714</v>
      </c>
      <c r="L33" s="117" t="s">
        <v>164</v>
      </c>
      <c r="M33" s="154">
        <v>2</v>
      </c>
      <c r="N33" s="154">
        <v>3</v>
      </c>
      <c r="O33" s="154">
        <v>2</v>
      </c>
      <c r="P33" s="416">
        <f t="shared" si="13"/>
        <v>47</v>
      </c>
      <c r="Q33" s="443">
        <f t="shared" si="2"/>
        <v>20250</v>
      </c>
      <c r="R33" s="443">
        <f t="shared" si="3"/>
        <v>400</v>
      </c>
      <c r="S33" s="224"/>
      <c r="T33" s="224"/>
      <c r="U33" s="224"/>
      <c r="V33" s="278">
        <f t="shared" si="4"/>
        <v>2</v>
      </c>
      <c r="W33" s="278">
        <f t="shared" si="5"/>
        <v>3</v>
      </c>
      <c r="X33" s="278">
        <f t="shared" si="6"/>
        <v>2</v>
      </c>
      <c r="Y33" s="278">
        <f t="shared" si="7"/>
        <v>21</v>
      </c>
      <c r="Z33" s="278"/>
      <c r="AA33" s="278">
        <f t="shared" si="8"/>
        <v>5</v>
      </c>
      <c r="AB33" s="278">
        <f t="shared" si="9"/>
        <v>5</v>
      </c>
      <c r="AC33" s="278">
        <f t="shared" si="10"/>
        <v>5</v>
      </c>
      <c r="AD33" s="278">
        <f t="shared" si="11"/>
        <v>45</v>
      </c>
    </row>
    <row r="34" spans="2:30" ht="25" customHeight="1" x14ac:dyDescent="0.3">
      <c r="B34" s="146" t="s">
        <v>1760</v>
      </c>
      <c r="C34" s="144" t="s">
        <v>1761</v>
      </c>
      <c r="D34" s="116" t="s">
        <v>1757</v>
      </c>
      <c r="E34" s="116" t="s">
        <v>1758</v>
      </c>
      <c r="F34" s="144">
        <f>7+26/60+56/3600</f>
        <v>7.4488888888888889</v>
      </c>
      <c r="G34" s="144">
        <f>134+29/60+17/3600</f>
        <v>134.48805555555555</v>
      </c>
      <c r="H34" s="112" t="s">
        <v>1759</v>
      </c>
      <c r="I34" s="117">
        <v>2.4</v>
      </c>
      <c r="J34" s="117" t="s">
        <v>1720</v>
      </c>
      <c r="K34" s="117" t="s">
        <v>1762</v>
      </c>
      <c r="L34" s="117" t="s">
        <v>164</v>
      </c>
      <c r="M34" s="154">
        <v>3</v>
      </c>
      <c r="N34" s="154">
        <v>3</v>
      </c>
      <c r="O34" s="154">
        <v>3</v>
      </c>
      <c r="P34" s="416">
        <f t="shared" si="13"/>
        <v>60</v>
      </c>
      <c r="Q34" s="443">
        <f t="shared" si="2"/>
        <v>27000</v>
      </c>
      <c r="R34" s="443">
        <f t="shared" si="3"/>
        <v>500</v>
      </c>
      <c r="S34" s="224"/>
      <c r="T34" s="224"/>
      <c r="U34" s="224"/>
      <c r="V34" s="278">
        <f t="shared" si="4"/>
        <v>3</v>
      </c>
      <c r="W34" s="278">
        <f t="shared" si="5"/>
        <v>3</v>
      </c>
      <c r="X34" s="278">
        <f t="shared" si="6"/>
        <v>3</v>
      </c>
      <c r="Y34" s="278">
        <f t="shared" si="7"/>
        <v>27</v>
      </c>
      <c r="Z34" s="278"/>
      <c r="AA34" s="278">
        <f t="shared" si="8"/>
        <v>5</v>
      </c>
      <c r="AB34" s="278">
        <f t="shared" si="9"/>
        <v>5</v>
      </c>
      <c r="AC34" s="278">
        <f t="shared" si="10"/>
        <v>5</v>
      </c>
      <c r="AD34" s="278">
        <f t="shared" si="11"/>
        <v>45</v>
      </c>
    </row>
    <row r="35" spans="2:30" ht="25" customHeight="1" x14ac:dyDescent="0.3">
      <c r="B35" s="146" t="s">
        <v>1763</v>
      </c>
      <c r="C35" s="144" t="s">
        <v>1761</v>
      </c>
      <c r="D35" s="116" t="s">
        <v>1757</v>
      </c>
      <c r="E35" s="116" t="s">
        <v>1758</v>
      </c>
      <c r="F35" s="144">
        <f>7+25/60+52.27/3600</f>
        <v>7.4311861111111117</v>
      </c>
      <c r="G35" s="144">
        <f>134+28/60+49.8/3600</f>
        <v>134.48050000000001</v>
      </c>
      <c r="H35" s="112" t="s">
        <v>1759</v>
      </c>
      <c r="I35" s="117">
        <v>2.4</v>
      </c>
      <c r="J35" s="117" t="s">
        <v>1720</v>
      </c>
      <c r="K35" s="117" t="s">
        <v>1714</v>
      </c>
      <c r="L35" s="117" t="s">
        <v>164</v>
      </c>
      <c r="M35" s="154">
        <v>3</v>
      </c>
      <c r="N35" s="154">
        <v>3</v>
      </c>
      <c r="O35" s="154">
        <v>3</v>
      </c>
      <c r="P35" s="416">
        <f t="shared" si="13"/>
        <v>60</v>
      </c>
      <c r="Q35" s="443">
        <f t="shared" si="2"/>
        <v>27000</v>
      </c>
      <c r="R35" s="443">
        <f t="shared" si="3"/>
        <v>500</v>
      </c>
      <c r="S35" s="224"/>
      <c r="T35" s="224"/>
      <c r="U35" s="224"/>
      <c r="V35" s="278">
        <f t="shared" si="4"/>
        <v>3</v>
      </c>
      <c r="W35" s="278">
        <f t="shared" si="5"/>
        <v>3</v>
      </c>
      <c r="X35" s="278">
        <f t="shared" si="6"/>
        <v>3</v>
      </c>
      <c r="Y35" s="278">
        <f t="shared" si="7"/>
        <v>27</v>
      </c>
      <c r="Z35" s="278"/>
      <c r="AA35" s="278">
        <f t="shared" si="8"/>
        <v>5</v>
      </c>
      <c r="AB35" s="278">
        <f t="shared" si="9"/>
        <v>5</v>
      </c>
      <c r="AC35" s="278">
        <f t="shared" si="10"/>
        <v>5</v>
      </c>
      <c r="AD35" s="278">
        <f t="shared" si="11"/>
        <v>45</v>
      </c>
    </row>
    <row r="36" spans="2:30" ht="25" customHeight="1" x14ac:dyDescent="0.3">
      <c r="B36" s="146"/>
      <c r="C36" s="144"/>
      <c r="D36" s="145"/>
      <c r="E36" s="116"/>
      <c r="F36" s="144"/>
      <c r="G36" s="144"/>
      <c r="H36" s="112"/>
      <c r="I36" s="117"/>
      <c r="J36" s="117"/>
      <c r="K36" s="117"/>
      <c r="L36" s="117"/>
      <c r="M36" s="154"/>
      <c r="N36" s="154"/>
      <c r="O36" s="154"/>
      <c r="P36" s="416"/>
      <c r="Q36" s="443">
        <f t="shared" si="2"/>
        <v>0</v>
      </c>
      <c r="R36" s="443">
        <f t="shared" si="3"/>
        <v>0</v>
      </c>
      <c r="S36" s="224"/>
      <c r="T36" s="224"/>
      <c r="U36" s="224"/>
      <c r="V36" s="278">
        <f t="shared" si="4"/>
        <v>0</v>
      </c>
      <c r="W36" s="278">
        <f t="shared" si="5"/>
        <v>0</v>
      </c>
      <c r="X36" s="278">
        <f t="shared" si="6"/>
        <v>0</v>
      </c>
      <c r="Y36" s="278">
        <f t="shared" si="7"/>
        <v>0</v>
      </c>
      <c r="Z36" s="278"/>
      <c r="AA36" s="278">
        <f t="shared" si="8"/>
        <v>0</v>
      </c>
      <c r="AB36" s="278">
        <f t="shared" si="9"/>
        <v>0</v>
      </c>
      <c r="AC36" s="278">
        <f t="shared" si="10"/>
        <v>0</v>
      </c>
      <c r="AD36" s="278">
        <f t="shared" si="11"/>
        <v>0</v>
      </c>
    </row>
    <row r="37" spans="2:30" ht="25" customHeight="1" x14ac:dyDescent="0.3">
      <c r="B37" s="111" t="s">
        <v>1764</v>
      </c>
      <c r="C37" s="144" t="s">
        <v>1765</v>
      </c>
      <c r="D37" s="145" t="s">
        <v>1723</v>
      </c>
      <c r="E37" s="116" t="s">
        <v>1766</v>
      </c>
      <c r="F37" s="144">
        <f>7+27/60+2.25/3600</f>
        <v>7.4506250000000005</v>
      </c>
      <c r="G37" s="144">
        <f>134+31/60+53.65/3600</f>
        <v>134.53156944444447</v>
      </c>
      <c r="H37" s="112" t="s">
        <v>1710</v>
      </c>
      <c r="I37" s="117">
        <v>20</v>
      </c>
      <c r="J37" s="117" t="s">
        <v>1720</v>
      </c>
      <c r="K37" s="117" t="s">
        <v>1714</v>
      </c>
      <c r="L37" s="117" t="s">
        <v>163</v>
      </c>
      <c r="M37" s="154">
        <v>4</v>
      </c>
      <c r="N37" s="154">
        <v>5</v>
      </c>
      <c r="O37" s="154">
        <v>5</v>
      </c>
      <c r="P37" s="416">
        <f t="shared" si="13"/>
        <v>93</v>
      </c>
      <c r="Q37" s="443">
        <f t="shared" si="2"/>
        <v>225000</v>
      </c>
      <c r="R37" s="443">
        <f t="shared" si="3"/>
        <v>4500</v>
      </c>
      <c r="S37" s="224"/>
      <c r="T37" s="224"/>
      <c r="U37" s="224"/>
      <c r="V37" s="278">
        <f t="shared" si="4"/>
        <v>4</v>
      </c>
      <c r="W37" s="278">
        <f t="shared" si="5"/>
        <v>5</v>
      </c>
      <c r="X37" s="278">
        <f t="shared" si="6"/>
        <v>5</v>
      </c>
      <c r="Y37" s="278">
        <f t="shared" si="7"/>
        <v>42</v>
      </c>
      <c r="Z37" s="278"/>
      <c r="AA37" s="278">
        <f t="shared" si="8"/>
        <v>5</v>
      </c>
      <c r="AB37" s="278">
        <f t="shared" si="9"/>
        <v>5</v>
      </c>
      <c r="AC37" s="278">
        <f t="shared" si="10"/>
        <v>5</v>
      </c>
      <c r="AD37" s="278">
        <f t="shared" si="11"/>
        <v>45</v>
      </c>
    </row>
    <row r="38" spans="2:30" ht="25" customHeight="1" x14ac:dyDescent="0.3">
      <c r="B38" s="111" t="s">
        <v>1767</v>
      </c>
      <c r="C38" s="144" t="s">
        <v>1768</v>
      </c>
      <c r="D38" s="145" t="s">
        <v>1723</v>
      </c>
      <c r="E38" s="116" t="s">
        <v>1769</v>
      </c>
      <c r="F38" s="144">
        <f>7+29/60+32.08/3600</f>
        <v>7.4922444444444443</v>
      </c>
      <c r="G38" s="144">
        <f>134+32/60+29.96/3600</f>
        <v>134.54165555555556</v>
      </c>
      <c r="H38" s="112" t="s">
        <v>1710</v>
      </c>
      <c r="I38" s="117">
        <v>29</v>
      </c>
      <c r="J38" s="117" t="s">
        <v>1720</v>
      </c>
      <c r="K38" s="117" t="s">
        <v>1714</v>
      </c>
      <c r="L38" s="117" t="s">
        <v>163</v>
      </c>
      <c r="M38" s="154">
        <v>4</v>
      </c>
      <c r="N38" s="154">
        <v>3</v>
      </c>
      <c r="O38" s="154">
        <v>5</v>
      </c>
      <c r="P38" s="416">
        <f t="shared" si="13"/>
        <v>80</v>
      </c>
      <c r="Q38" s="443">
        <f t="shared" si="2"/>
        <v>326250</v>
      </c>
      <c r="R38" s="443">
        <f t="shared" si="3"/>
        <v>6500</v>
      </c>
      <c r="V38" s="278">
        <f t="shared" si="4"/>
        <v>4</v>
      </c>
      <c r="W38" s="278">
        <f t="shared" si="5"/>
        <v>3</v>
      </c>
      <c r="X38" s="278">
        <f t="shared" si="6"/>
        <v>5</v>
      </c>
      <c r="Y38" s="278">
        <f t="shared" si="7"/>
        <v>36</v>
      </c>
      <c r="Z38" s="278"/>
      <c r="AA38" s="278">
        <f t="shared" si="8"/>
        <v>5</v>
      </c>
      <c r="AB38" s="278">
        <f t="shared" si="9"/>
        <v>5</v>
      </c>
      <c r="AC38" s="278">
        <f t="shared" si="10"/>
        <v>5</v>
      </c>
      <c r="AD38" s="278">
        <f t="shared" si="11"/>
        <v>45</v>
      </c>
    </row>
    <row r="39" spans="2:30" ht="25" customHeight="1" x14ac:dyDescent="0.3">
      <c r="B39" s="111" t="s">
        <v>1770</v>
      </c>
      <c r="C39" s="144" t="s">
        <v>1771</v>
      </c>
      <c r="D39" s="145" t="s">
        <v>1723</v>
      </c>
      <c r="E39" s="116" t="s">
        <v>1772</v>
      </c>
      <c r="F39" s="144">
        <f>7+29/60+38.46/3600</f>
        <v>7.494016666666667</v>
      </c>
      <c r="G39" s="144">
        <f>134+32/60+33.14/3600</f>
        <v>134.54253888888888</v>
      </c>
      <c r="H39" s="112" t="s">
        <v>1710</v>
      </c>
      <c r="I39" s="117">
        <v>29</v>
      </c>
      <c r="J39" s="117" t="s">
        <v>1720</v>
      </c>
      <c r="K39" s="117" t="s">
        <v>1711</v>
      </c>
      <c r="L39" s="117" t="s">
        <v>163</v>
      </c>
      <c r="M39" s="154">
        <v>4</v>
      </c>
      <c r="N39" s="154">
        <v>5</v>
      </c>
      <c r="O39" s="154">
        <v>5</v>
      </c>
      <c r="P39" s="416">
        <f t="shared" si="13"/>
        <v>93</v>
      </c>
      <c r="Q39" s="443">
        <f t="shared" si="2"/>
        <v>326250</v>
      </c>
      <c r="R39" s="443">
        <f t="shared" si="3"/>
        <v>6500</v>
      </c>
      <c r="V39" s="278">
        <f t="shared" si="4"/>
        <v>4</v>
      </c>
      <c r="W39" s="278">
        <f t="shared" si="5"/>
        <v>5</v>
      </c>
      <c r="X39" s="278">
        <f t="shared" si="6"/>
        <v>5</v>
      </c>
      <c r="Y39" s="278">
        <f t="shared" si="7"/>
        <v>42</v>
      </c>
      <c r="Z39" s="278"/>
      <c r="AA39" s="278">
        <f t="shared" si="8"/>
        <v>5</v>
      </c>
      <c r="AB39" s="278">
        <f t="shared" si="9"/>
        <v>5</v>
      </c>
      <c r="AC39" s="278">
        <f t="shared" si="10"/>
        <v>5</v>
      </c>
      <c r="AD39" s="278">
        <f t="shared" si="11"/>
        <v>45</v>
      </c>
    </row>
    <row r="40" spans="2:30" ht="25" customHeight="1" x14ac:dyDescent="0.3">
      <c r="B40" s="111"/>
      <c r="C40" s="144"/>
      <c r="D40" s="145"/>
      <c r="E40" s="116"/>
      <c r="F40" s="144"/>
      <c r="G40" s="144"/>
      <c r="H40" s="112"/>
      <c r="I40" s="117"/>
      <c r="J40" s="117"/>
      <c r="K40" s="117"/>
      <c r="L40" s="117"/>
      <c r="M40" s="154"/>
      <c r="N40" s="154"/>
      <c r="O40" s="154"/>
      <c r="P40" s="416"/>
      <c r="Q40" s="443">
        <f t="shared" si="2"/>
        <v>0</v>
      </c>
      <c r="R40" s="443">
        <f t="shared" si="3"/>
        <v>0</v>
      </c>
      <c r="V40" s="278">
        <f t="shared" si="4"/>
        <v>0</v>
      </c>
      <c r="W40" s="278">
        <f t="shared" si="5"/>
        <v>0</v>
      </c>
      <c r="X40" s="278">
        <f t="shared" si="6"/>
        <v>0</v>
      </c>
      <c r="Y40" s="278">
        <f t="shared" si="7"/>
        <v>0</v>
      </c>
      <c r="Z40" s="278"/>
      <c r="AA40" s="278">
        <f t="shared" si="8"/>
        <v>0</v>
      </c>
      <c r="AB40" s="278">
        <f t="shared" si="9"/>
        <v>0</v>
      </c>
      <c r="AC40" s="278">
        <f t="shared" si="10"/>
        <v>0</v>
      </c>
      <c r="AD40" s="278">
        <f t="shared" si="11"/>
        <v>0</v>
      </c>
    </row>
    <row r="41" spans="2:30" ht="25" customHeight="1" x14ac:dyDescent="0.3">
      <c r="B41" s="111" t="s">
        <v>1773</v>
      </c>
      <c r="C41" s="144" t="s">
        <v>1774</v>
      </c>
      <c r="D41" s="145" t="s">
        <v>1708</v>
      </c>
      <c r="E41" s="116" t="s">
        <v>1775</v>
      </c>
      <c r="F41" s="144">
        <f>7+35/60+13.13/3600</f>
        <v>7.586980555555555</v>
      </c>
      <c r="G41" s="144">
        <f>134+35/60+9.4/3600</f>
        <v>134.58594444444446</v>
      </c>
      <c r="H41" s="112" t="s">
        <v>1710</v>
      </c>
      <c r="I41" s="117">
        <v>30.5</v>
      </c>
      <c r="J41" s="117">
        <v>0.66</v>
      </c>
      <c r="K41" s="117" t="s">
        <v>1711</v>
      </c>
      <c r="L41" s="117" t="s">
        <v>163</v>
      </c>
      <c r="M41" s="154">
        <v>4</v>
      </c>
      <c r="N41" s="154">
        <v>5</v>
      </c>
      <c r="O41" s="154">
        <v>5</v>
      </c>
      <c r="P41" s="416">
        <f t="shared" si="13"/>
        <v>93</v>
      </c>
      <c r="Q41" s="443">
        <f t="shared" si="2"/>
        <v>343125</v>
      </c>
      <c r="R41" s="443">
        <f t="shared" si="3"/>
        <v>6900</v>
      </c>
      <c r="V41" s="278">
        <f t="shared" si="4"/>
        <v>4</v>
      </c>
      <c r="W41" s="278">
        <f t="shared" si="5"/>
        <v>5</v>
      </c>
      <c r="X41" s="278">
        <f t="shared" si="6"/>
        <v>5</v>
      </c>
      <c r="Y41" s="278">
        <f t="shared" si="7"/>
        <v>42</v>
      </c>
      <c r="Z41" s="278"/>
      <c r="AA41" s="278">
        <f t="shared" si="8"/>
        <v>5</v>
      </c>
      <c r="AB41" s="278">
        <f t="shared" si="9"/>
        <v>5</v>
      </c>
      <c r="AC41" s="278">
        <f t="shared" si="10"/>
        <v>5</v>
      </c>
      <c r="AD41" s="278">
        <f t="shared" si="11"/>
        <v>45</v>
      </c>
    </row>
    <row r="42" spans="2:30" ht="25" customHeight="1" x14ac:dyDescent="0.3">
      <c r="B42" s="111" t="s">
        <v>1776</v>
      </c>
      <c r="C42" s="144" t="s">
        <v>1777</v>
      </c>
      <c r="D42" s="145" t="s">
        <v>1708</v>
      </c>
      <c r="E42" s="116" t="s">
        <v>1775</v>
      </c>
      <c r="F42" s="144">
        <f>7+36/60+20.18/3600</f>
        <v>7.6056055555555551</v>
      </c>
      <c r="G42" s="144">
        <f>134+35/60+23.71/3600</f>
        <v>134.58991944444446</v>
      </c>
      <c r="H42" s="112" t="s">
        <v>1710</v>
      </c>
      <c r="I42" s="117">
        <v>30.5</v>
      </c>
      <c r="J42" s="117">
        <v>2.63</v>
      </c>
      <c r="K42" s="117" t="s">
        <v>1711</v>
      </c>
      <c r="L42" s="117" t="s">
        <v>163</v>
      </c>
      <c r="M42" s="154">
        <v>3</v>
      </c>
      <c r="N42" s="154">
        <v>4</v>
      </c>
      <c r="O42" s="154">
        <v>4</v>
      </c>
      <c r="P42" s="416">
        <f t="shared" si="13"/>
        <v>73</v>
      </c>
      <c r="Q42" s="443">
        <f t="shared" si="2"/>
        <v>343125</v>
      </c>
      <c r="R42" s="443">
        <f t="shared" si="3"/>
        <v>6900</v>
      </c>
      <c r="V42" s="278">
        <f t="shared" si="4"/>
        <v>3</v>
      </c>
      <c r="W42" s="278">
        <f t="shared" si="5"/>
        <v>4</v>
      </c>
      <c r="X42" s="278">
        <f t="shared" si="6"/>
        <v>4</v>
      </c>
      <c r="Y42" s="278">
        <f t="shared" si="7"/>
        <v>33</v>
      </c>
      <c r="Z42" s="278"/>
      <c r="AA42" s="278">
        <f t="shared" si="8"/>
        <v>5</v>
      </c>
      <c r="AB42" s="278">
        <f t="shared" si="9"/>
        <v>5</v>
      </c>
      <c r="AC42" s="278">
        <f t="shared" si="10"/>
        <v>5</v>
      </c>
      <c r="AD42" s="278">
        <f t="shared" si="11"/>
        <v>45</v>
      </c>
    </row>
    <row r="43" spans="2:30" ht="25" customHeight="1" x14ac:dyDescent="0.3">
      <c r="B43" s="111" t="s">
        <v>1778</v>
      </c>
      <c r="C43" s="144" t="s">
        <v>1779</v>
      </c>
      <c r="D43" s="145" t="s">
        <v>1708</v>
      </c>
      <c r="E43" s="116" t="s">
        <v>1775</v>
      </c>
      <c r="F43" s="144">
        <f>7+36/60+10.27/3600</f>
        <v>7.6028527777777777</v>
      </c>
      <c r="G43" s="144">
        <f>134+35/60+36.4/3600</f>
        <v>134.59344444444446</v>
      </c>
      <c r="H43" s="112" t="s">
        <v>1710</v>
      </c>
      <c r="I43" s="117">
        <v>23</v>
      </c>
      <c r="J43" s="117" t="s">
        <v>1720</v>
      </c>
      <c r="K43" s="117" t="s">
        <v>1711</v>
      </c>
      <c r="L43" s="117" t="s">
        <v>163</v>
      </c>
      <c r="M43" s="154">
        <v>4</v>
      </c>
      <c r="N43" s="154">
        <v>4</v>
      </c>
      <c r="O43" s="154">
        <v>5</v>
      </c>
      <c r="P43" s="416">
        <f t="shared" si="13"/>
        <v>87</v>
      </c>
      <c r="Q43" s="443">
        <f t="shared" si="2"/>
        <v>258750</v>
      </c>
      <c r="R43" s="443">
        <f t="shared" si="3"/>
        <v>5200</v>
      </c>
      <c r="V43" s="278">
        <f t="shared" si="4"/>
        <v>4</v>
      </c>
      <c r="W43" s="278">
        <f t="shared" si="5"/>
        <v>4</v>
      </c>
      <c r="X43" s="278">
        <f t="shared" si="6"/>
        <v>5</v>
      </c>
      <c r="Y43" s="278">
        <f t="shared" si="7"/>
        <v>39</v>
      </c>
      <c r="Z43" s="278"/>
      <c r="AA43" s="278">
        <f t="shared" si="8"/>
        <v>5</v>
      </c>
      <c r="AB43" s="278">
        <f t="shared" si="9"/>
        <v>5</v>
      </c>
      <c r="AC43" s="278">
        <f t="shared" si="10"/>
        <v>5</v>
      </c>
      <c r="AD43" s="278">
        <f t="shared" si="11"/>
        <v>45</v>
      </c>
    </row>
    <row r="44" spans="2:30" ht="25" customHeight="1" x14ac:dyDescent="0.3">
      <c r="B44" s="111"/>
      <c r="C44" s="111"/>
      <c r="D44" s="116"/>
      <c r="E44" s="116"/>
      <c r="F44" s="111"/>
      <c r="G44" s="111"/>
      <c r="H44" s="112"/>
      <c r="I44" s="117"/>
      <c r="J44" s="117"/>
      <c r="K44" s="117"/>
      <c r="L44" s="117"/>
      <c r="M44" s="119"/>
      <c r="N44" s="119"/>
      <c r="O44" s="112"/>
      <c r="Q44" s="444">
        <f>SUM(Q5:Q43)</f>
        <v>7988625</v>
      </c>
      <c r="R44" s="444">
        <f>SUM(R5:R43)</f>
        <v>159400</v>
      </c>
      <c r="V44" s="278">
        <f t="shared" si="4"/>
        <v>0</v>
      </c>
      <c r="W44" s="278">
        <f t="shared" si="5"/>
        <v>0</v>
      </c>
      <c r="X44" s="278">
        <f t="shared" si="6"/>
        <v>0</v>
      </c>
      <c r="Y44" s="278">
        <f t="shared" si="7"/>
        <v>0</v>
      </c>
      <c r="Z44" s="278"/>
      <c r="AA44" s="278">
        <f t="shared" si="8"/>
        <v>0</v>
      </c>
      <c r="AB44" s="278">
        <f t="shared" si="9"/>
        <v>0</v>
      </c>
      <c r="AC44" s="278">
        <f t="shared" si="10"/>
        <v>0</v>
      </c>
      <c r="AD44" s="278">
        <f t="shared" si="11"/>
        <v>0</v>
      </c>
    </row>
    <row r="45" spans="2:30" ht="25" customHeight="1" x14ac:dyDescent="0.3">
      <c r="B45" s="111"/>
      <c r="C45" s="111"/>
      <c r="D45" s="116"/>
      <c r="E45" s="116"/>
      <c r="F45" s="111"/>
      <c r="G45" s="111"/>
      <c r="H45" s="112"/>
      <c r="I45" s="117"/>
      <c r="J45" s="117"/>
      <c r="K45" s="117"/>
      <c r="L45" s="117"/>
      <c r="M45" s="119"/>
      <c r="N45" s="119"/>
      <c r="O45" s="112"/>
      <c r="V45" s="278">
        <f t="shared" si="4"/>
        <v>0</v>
      </c>
      <c r="W45" s="278">
        <f t="shared" si="5"/>
        <v>0</v>
      </c>
      <c r="X45" s="278">
        <f t="shared" si="6"/>
        <v>0</v>
      </c>
      <c r="Y45" s="278">
        <f t="shared" si="7"/>
        <v>0</v>
      </c>
      <c r="Z45" s="278"/>
      <c r="AA45" s="278">
        <f t="shared" si="8"/>
        <v>0</v>
      </c>
      <c r="AB45" s="278">
        <f t="shared" si="9"/>
        <v>0</v>
      </c>
      <c r="AC45" s="278">
        <f t="shared" si="10"/>
        <v>0</v>
      </c>
      <c r="AD45" s="278">
        <f t="shared" si="11"/>
        <v>0</v>
      </c>
    </row>
    <row r="46" spans="2:30" ht="25" customHeight="1" x14ac:dyDescent="0.3">
      <c r="B46" s="111"/>
      <c r="C46" s="111"/>
      <c r="D46" s="116"/>
      <c r="E46" s="116"/>
      <c r="F46" s="111"/>
      <c r="G46" s="111"/>
      <c r="H46" s="112"/>
      <c r="I46" s="117"/>
      <c r="J46" s="117"/>
      <c r="K46" s="117"/>
      <c r="L46" s="117"/>
      <c r="M46" s="119"/>
      <c r="N46" s="119"/>
      <c r="O46" s="112"/>
      <c r="V46" s="278">
        <f t="shared" si="4"/>
        <v>0</v>
      </c>
      <c r="W46" s="278">
        <f t="shared" si="5"/>
        <v>0</v>
      </c>
      <c r="X46" s="278">
        <f t="shared" si="6"/>
        <v>0</v>
      </c>
      <c r="Y46" s="278">
        <f t="shared" si="7"/>
        <v>0</v>
      </c>
      <c r="Z46" s="278"/>
      <c r="AA46" s="278">
        <f t="shared" si="8"/>
        <v>0</v>
      </c>
      <c r="AB46" s="278">
        <f t="shared" si="9"/>
        <v>0</v>
      </c>
      <c r="AC46" s="278">
        <f t="shared" si="10"/>
        <v>0</v>
      </c>
      <c r="AD46" s="278">
        <f t="shared" si="11"/>
        <v>0</v>
      </c>
    </row>
    <row r="47" spans="2:30" ht="25" customHeight="1" x14ac:dyDescent="0.3">
      <c r="B47" s="111"/>
      <c r="C47" s="111"/>
      <c r="D47" s="116"/>
      <c r="E47" s="116"/>
      <c r="F47" s="111"/>
      <c r="G47" s="111"/>
      <c r="H47" s="112"/>
      <c r="I47" s="117"/>
      <c r="J47" s="117"/>
      <c r="K47" s="117"/>
      <c r="L47" s="117"/>
      <c r="M47" s="119"/>
      <c r="N47" s="119"/>
      <c r="O47" s="112"/>
    </row>
    <row r="48" spans="2:30" ht="25" customHeight="1" x14ac:dyDescent="0.3">
      <c r="B48" s="111"/>
      <c r="C48" s="111"/>
      <c r="D48" s="116"/>
      <c r="E48" s="116"/>
      <c r="F48" s="111"/>
      <c r="G48" s="111"/>
      <c r="H48" s="112"/>
      <c r="I48" s="117"/>
      <c r="J48" s="117"/>
      <c r="K48" s="117"/>
      <c r="L48" s="117"/>
      <c r="M48" s="119"/>
      <c r="N48" s="119"/>
      <c r="O48" s="112"/>
    </row>
    <row r="49" spans="2:15" ht="25" customHeight="1" x14ac:dyDescent="0.3">
      <c r="B49" s="111"/>
      <c r="C49" s="111"/>
      <c r="D49" s="116"/>
      <c r="E49" s="116"/>
      <c r="F49" s="111"/>
      <c r="G49" s="111"/>
      <c r="H49" s="112"/>
      <c r="I49" s="117"/>
      <c r="J49" s="117"/>
      <c r="K49" s="117"/>
      <c r="L49" s="117"/>
      <c r="M49" s="119"/>
      <c r="N49" s="119"/>
      <c r="O49" s="112"/>
    </row>
    <row r="50" spans="2:15" ht="25" customHeight="1" x14ac:dyDescent="0.3">
      <c r="B50" s="111"/>
      <c r="C50" s="111"/>
      <c r="D50" s="116"/>
      <c r="E50" s="116"/>
      <c r="F50" s="111"/>
      <c r="G50" s="111"/>
      <c r="H50" s="112"/>
      <c r="I50" s="117"/>
      <c r="J50" s="117"/>
      <c r="K50" s="117"/>
      <c r="L50" s="117"/>
      <c r="M50" s="119"/>
      <c r="N50" s="119"/>
      <c r="O50" s="112"/>
    </row>
    <row r="51" spans="2:15" ht="25" customHeight="1" x14ac:dyDescent="0.3">
      <c r="B51" s="111"/>
      <c r="C51" s="111"/>
      <c r="D51" s="116"/>
      <c r="E51" s="116"/>
      <c r="F51" s="111"/>
      <c r="G51" s="111"/>
      <c r="H51" s="112"/>
      <c r="I51" s="117"/>
      <c r="J51" s="117"/>
      <c r="K51" s="117"/>
      <c r="L51" s="117"/>
      <c r="M51" s="119"/>
      <c r="N51" s="119"/>
      <c r="O51" s="112"/>
    </row>
    <row r="52" spans="2:15" ht="25" customHeight="1" x14ac:dyDescent="0.3">
      <c r="B52" s="111"/>
      <c r="C52" s="111"/>
      <c r="D52" s="116"/>
      <c r="E52" s="116"/>
      <c r="F52" s="111"/>
      <c r="G52" s="111"/>
      <c r="H52" s="112"/>
      <c r="I52" s="117"/>
      <c r="J52" s="117"/>
      <c r="K52" s="117"/>
      <c r="L52" s="117"/>
      <c r="M52" s="119"/>
      <c r="N52" s="119"/>
      <c r="O52" s="112"/>
    </row>
    <row r="53" spans="2:15" ht="25" customHeight="1" x14ac:dyDescent="0.3">
      <c r="B53" s="111"/>
      <c r="C53" s="111"/>
      <c r="D53" s="116"/>
      <c r="E53" s="116"/>
      <c r="F53" s="111"/>
      <c r="G53" s="111"/>
      <c r="H53" s="112"/>
      <c r="I53" s="117"/>
      <c r="J53" s="117"/>
      <c r="K53" s="117"/>
      <c r="L53" s="117"/>
      <c r="M53" s="119"/>
      <c r="N53" s="119"/>
      <c r="O53" s="112"/>
    </row>
    <row r="54" spans="2:15" ht="25" customHeight="1" x14ac:dyDescent="0.3">
      <c r="B54" s="111"/>
      <c r="C54" s="111"/>
      <c r="D54" s="116"/>
      <c r="E54" s="116"/>
      <c r="F54" s="111"/>
      <c r="G54" s="111"/>
      <c r="H54" s="112"/>
      <c r="I54" s="117"/>
      <c r="J54" s="117"/>
      <c r="K54" s="117"/>
      <c r="L54" s="117"/>
      <c r="M54" s="119"/>
      <c r="N54" s="119"/>
      <c r="O54" s="112"/>
    </row>
    <row r="55" spans="2:15" ht="25" customHeight="1" x14ac:dyDescent="0.3">
      <c r="B55" s="111"/>
      <c r="C55" s="111"/>
      <c r="D55" s="116"/>
      <c r="E55" s="116"/>
      <c r="F55" s="111"/>
      <c r="G55" s="111"/>
      <c r="H55" s="112"/>
      <c r="I55" s="117"/>
      <c r="J55" s="117"/>
      <c r="K55" s="117"/>
      <c r="L55" s="117"/>
      <c r="M55" s="119"/>
      <c r="N55" s="119"/>
      <c r="O55" s="112"/>
    </row>
    <row r="56" spans="2:15" ht="25" customHeight="1" x14ac:dyDescent="0.3">
      <c r="B56" s="111"/>
      <c r="C56" s="111"/>
      <c r="D56" s="116"/>
      <c r="E56" s="116"/>
      <c r="F56" s="111"/>
      <c r="G56" s="111"/>
      <c r="H56" s="112"/>
      <c r="I56" s="117"/>
      <c r="J56" s="117"/>
      <c r="K56" s="117"/>
      <c r="L56" s="117"/>
      <c r="M56" s="119"/>
      <c r="N56" s="119"/>
      <c r="O56" s="112"/>
    </row>
    <row r="57" spans="2:15" ht="25" customHeight="1" x14ac:dyDescent="0.3">
      <c r="B57" s="111"/>
      <c r="C57" s="111"/>
      <c r="D57" s="116"/>
      <c r="E57" s="116"/>
      <c r="F57" s="111"/>
      <c r="G57" s="111"/>
      <c r="H57" s="112"/>
      <c r="I57" s="117"/>
      <c r="J57" s="117"/>
      <c r="K57" s="117"/>
      <c r="L57" s="117"/>
      <c r="M57" s="119"/>
      <c r="N57" s="119"/>
      <c r="O57" s="112"/>
    </row>
    <row r="58" spans="2:15" ht="25" customHeight="1" x14ac:dyDescent="0.3">
      <c r="B58" s="111"/>
      <c r="C58" s="111"/>
      <c r="D58" s="116"/>
      <c r="E58" s="116"/>
      <c r="F58" s="111"/>
      <c r="G58" s="111"/>
      <c r="H58" s="112"/>
      <c r="I58" s="117"/>
      <c r="J58" s="117"/>
      <c r="K58" s="117"/>
      <c r="L58" s="117"/>
      <c r="M58" s="119"/>
      <c r="N58" s="119"/>
      <c r="O58" s="112"/>
    </row>
    <row r="59" spans="2:15" ht="25" customHeight="1" x14ac:dyDescent="0.3">
      <c r="B59" s="111"/>
      <c r="C59" s="111"/>
      <c r="D59" s="116"/>
      <c r="E59" s="116"/>
      <c r="F59" s="111"/>
      <c r="G59" s="111"/>
      <c r="H59" s="112"/>
      <c r="I59" s="117"/>
      <c r="J59" s="117"/>
      <c r="K59" s="117"/>
      <c r="L59" s="117"/>
      <c r="M59" s="119"/>
      <c r="N59" s="119"/>
      <c r="O59" s="112"/>
    </row>
    <row r="60" spans="2:15" ht="25" customHeight="1" x14ac:dyDescent="0.3">
      <c r="B60" s="111"/>
      <c r="C60" s="111"/>
      <c r="D60" s="116"/>
      <c r="E60" s="116"/>
      <c r="F60" s="111"/>
      <c r="G60" s="111"/>
      <c r="H60" s="112"/>
      <c r="I60" s="117"/>
      <c r="J60" s="117"/>
      <c r="K60" s="117"/>
      <c r="L60" s="117"/>
      <c r="M60" s="119"/>
      <c r="N60" s="119"/>
      <c r="O60" s="112"/>
    </row>
    <row r="61" spans="2:15" ht="25" customHeight="1" x14ac:dyDescent="0.3">
      <c r="B61" s="111"/>
      <c r="C61" s="111"/>
      <c r="D61" s="116"/>
      <c r="E61" s="116"/>
      <c r="F61" s="111"/>
      <c r="G61" s="111"/>
      <c r="H61" s="112"/>
      <c r="I61" s="117"/>
      <c r="J61" s="117"/>
      <c r="K61" s="117"/>
      <c r="L61" s="117"/>
      <c r="M61" s="119"/>
      <c r="N61" s="119"/>
      <c r="O61" s="112"/>
    </row>
    <row r="62" spans="2:15" ht="25" customHeight="1" x14ac:dyDescent="0.3">
      <c r="B62" s="111"/>
      <c r="C62" s="111"/>
      <c r="D62" s="116"/>
      <c r="E62" s="116"/>
      <c r="F62" s="111"/>
      <c r="G62" s="111"/>
      <c r="H62" s="112"/>
      <c r="I62" s="117"/>
      <c r="J62" s="117"/>
      <c r="K62" s="117"/>
      <c r="L62" s="117"/>
      <c r="M62" s="119"/>
      <c r="N62" s="119"/>
      <c r="O62" s="112"/>
    </row>
    <row r="63" spans="2:15" ht="25" customHeight="1" x14ac:dyDescent="0.3">
      <c r="B63" s="111"/>
      <c r="C63" s="111"/>
      <c r="D63" s="116"/>
      <c r="E63" s="116"/>
      <c r="F63" s="111"/>
      <c r="G63" s="111"/>
      <c r="H63" s="112"/>
      <c r="I63" s="117"/>
      <c r="J63" s="117"/>
      <c r="K63" s="117"/>
      <c r="L63" s="117"/>
      <c r="M63" s="119"/>
      <c r="N63" s="119"/>
      <c r="O63" s="112"/>
    </row>
    <row r="64" spans="2:15" ht="25" customHeight="1" x14ac:dyDescent="0.3">
      <c r="B64" s="111"/>
      <c r="C64" s="111"/>
      <c r="D64" s="116"/>
      <c r="E64" s="116"/>
      <c r="F64" s="111"/>
      <c r="G64" s="111"/>
      <c r="H64" s="112"/>
      <c r="I64" s="117"/>
      <c r="J64" s="117"/>
      <c r="K64" s="117"/>
      <c r="L64" s="117"/>
      <c r="M64" s="119"/>
      <c r="N64" s="119"/>
      <c r="O64" s="112"/>
    </row>
    <row r="65" spans="2:15" ht="25" customHeight="1" x14ac:dyDescent="0.3">
      <c r="B65" s="111"/>
      <c r="C65" s="111"/>
      <c r="D65" s="116"/>
      <c r="E65" s="116"/>
      <c r="F65" s="111"/>
      <c r="G65" s="111"/>
      <c r="H65" s="112"/>
      <c r="I65" s="117"/>
      <c r="J65" s="117"/>
      <c r="K65" s="117"/>
      <c r="L65" s="117"/>
      <c r="M65" s="119"/>
      <c r="N65" s="119"/>
      <c r="O65" s="112"/>
    </row>
    <row r="66" spans="2:15" ht="25" customHeight="1" x14ac:dyDescent="0.3">
      <c r="B66" s="111"/>
      <c r="C66" s="111"/>
      <c r="D66" s="116"/>
      <c r="E66" s="116"/>
      <c r="F66" s="111"/>
      <c r="G66" s="111"/>
      <c r="H66" s="112"/>
      <c r="I66" s="117"/>
      <c r="J66" s="117"/>
      <c r="K66" s="117"/>
      <c r="L66" s="117"/>
      <c r="M66" s="119"/>
      <c r="N66" s="119"/>
      <c r="O66" s="112"/>
    </row>
    <row r="67" spans="2:15" ht="25" customHeight="1" x14ac:dyDescent="0.3">
      <c r="B67" s="111"/>
      <c r="C67" s="111"/>
      <c r="D67" s="116"/>
      <c r="E67" s="116"/>
      <c r="F67" s="111"/>
      <c r="G67" s="111"/>
      <c r="H67" s="112"/>
      <c r="I67" s="117"/>
      <c r="J67" s="117"/>
      <c r="K67" s="117"/>
      <c r="L67" s="117"/>
      <c r="M67" s="119"/>
      <c r="N67" s="119"/>
      <c r="O67" s="112"/>
    </row>
    <row r="68" spans="2:15" ht="25" customHeight="1" x14ac:dyDescent="0.3">
      <c r="B68" s="111"/>
      <c r="C68" s="111"/>
      <c r="D68" s="116"/>
      <c r="E68" s="116"/>
      <c r="F68" s="111"/>
      <c r="G68" s="111"/>
      <c r="H68" s="112"/>
      <c r="I68" s="117"/>
      <c r="J68" s="117"/>
      <c r="K68" s="117"/>
      <c r="L68" s="117"/>
      <c r="M68" s="119"/>
      <c r="N68" s="119"/>
      <c r="O68" s="112"/>
    </row>
    <row r="69" spans="2:15" ht="25" customHeight="1" x14ac:dyDescent="0.3">
      <c r="B69" s="111"/>
      <c r="C69" s="111"/>
      <c r="D69" s="116"/>
      <c r="E69" s="116"/>
      <c r="F69" s="111"/>
      <c r="G69" s="111"/>
      <c r="H69" s="112"/>
      <c r="I69" s="117"/>
      <c r="J69" s="117"/>
      <c r="K69" s="117"/>
      <c r="L69" s="117"/>
      <c r="M69" s="119"/>
      <c r="N69" s="119"/>
      <c r="O69" s="112"/>
    </row>
    <row r="70" spans="2:15" ht="25" customHeight="1" x14ac:dyDescent="0.3">
      <c r="B70" s="111"/>
      <c r="C70" s="111"/>
      <c r="D70" s="116"/>
      <c r="E70" s="116"/>
      <c r="F70" s="111"/>
      <c r="G70" s="111"/>
      <c r="H70" s="112"/>
      <c r="I70" s="117"/>
      <c r="J70" s="117"/>
      <c r="K70" s="117"/>
      <c r="L70" s="117"/>
      <c r="M70" s="119"/>
      <c r="N70" s="119"/>
      <c r="O70" s="112"/>
    </row>
    <row r="71" spans="2:15" ht="25" customHeight="1" x14ac:dyDescent="0.3">
      <c r="B71" s="111"/>
      <c r="C71" s="111"/>
      <c r="D71" s="116"/>
      <c r="E71" s="116"/>
      <c r="F71" s="111"/>
      <c r="G71" s="111"/>
      <c r="H71" s="112"/>
      <c r="I71" s="117"/>
      <c r="J71" s="117"/>
      <c r="K71" s="117"/>
      <c r="L71" s="117"/>
      <c r="M71" s="119"/>
      <c r="N71" s="119"/>
      <c r="O71" s="112"/>
    </row>
    <row r="72" spans="2:15" ht="25" customHeight="1" x14ac:dyDescent="0.3">
      <c r="B72" s="111"/>
      <c r="C72" s="111"/>
      <c r="D72" s="116"/>
      <c r="E72" s="116"/>
      <c r="F72" s="111"/>
      <c r="G72" s="111"/>
      <c r="H72" s="112"/>
      <c r="I72" s="117"/>
      <c r="J72" s="117"/>
      <c r="K72" s="117"/>
      <c r="L72" s="117"/>
      <c r="M72" s="119"/>
      <c r="N72" s="119"/>
      <c r="O72" s="112"/>
    </row>
    <row r="73" spans="2:15" ht="25" customHeight="1" x14ac:dyDescent="0.3">
      <c r="B73" s="111"/>
      <c r="C73" s="111"/>
      <c r="D73" s="116"/>
      <c r="E73" s="116"/>
      <c r="F73" s="111"/>
      <c r="G73" s="111"/>
      <c r="H73" s="112"/>
      <c r="I73" s="117"/>
      <c r="J73" s="117"/>
      <c r="K73" s="117"/>
      <c r="L73" s="117"/>
      <c r="M73" s="119"/>
      <c r="N73" s="119"/>
      <c r="O73" s="112"/>
    </row>
    <row r="74" spans="2:15" ht="25" customHeight="1" x14ac:dyDescent="0.3">
      <c r="B74" s="111"/>
      <c r="C74" s="111"/>
      <c r="D74" s="116"/>
      <c r="E74" s="116"/>
      <c r="F74" s="111"/>
      <c r="G74" s="111"/>
      <c r="H74" s="112"/>
      <c r="I74" s="117"/>
      <c r="J74" s="117"/>
      <c r="K74" s="117"/>
      <c r="L74" s="117"/>
      <c r="M74" s="119"/>
      <c r="N74" s="119"/>
      <c r="O74" s="112"/>
    </row>
    <row r="75" spans="2:15" ht="25" customHeight="1" x14ac:dyDescent="0.3">
      <c r="B75" s="111"/>
      <c r="C75" s="111"/>
      <c r="D75" s="116"/>
      <c r="E75" s="116"/>
      <c r="F75" s="111"/>
      <c r="G75" s="111"/>
      <c r="H75" s="112"/>
      <c r="I75" s="117"/>
      <c r="J75" s="117"/>
      <c r="K75" s="117"/>
      <c r="L75" s="117"/>
      <c r="M75" s="119"/>
      <c r="N75" s="119"/>
      <c r="O75" s="112"/>
    </row>
    <row r="76" spans="2:15" ht="25" customHeight="1" x14ac:dyDescent="0.3">
      <c r="B76" s="111"/>
      <c r="C76" s="111"/>
      <c r="D76" s="116"/>
      <c r="E76" s="116"/>
      <c r="F76" s="111"/>
      <c r="G76" s="111"/>
      <c r="H76" s="112"/>
      <c r="I76" s="117"/>
      <c r="J76" s="117"/>
      <c r="K76" s="117"/>
      <c r="L76" s="117"/>
      <c r="M76" s="119"/>
      <c r="N76" s="119"/>
      <c r="O76" s="112"/>
    </row>
    <row r="77" spans="2:15" ht="25" customHeight="1" x14ac:dyDescent="0.3">
      <c r="B77" s="111"/>
      <c r="C77" s="111"/>
      <c r="D77" s="116"/>
      <c r="E77" s="116"/>
      <c r="F77" s="111"/>
      <c r="G77" s="111"/>
      <c r="H77" s="112"/>
      <c r="I77" s="117"/>
      <c r="J77" s="117"/>
      <c r="K77" s="117"/>
      <c r="L77" s="117"/>
      <c r="M77" s="119"/>
      <c r="N77" s="119"/>
      <c r="O77" s="112"/>
    </row>
    <row r="78" spans="2:15" ht="25" customHeight="1" x14ac:dyDescent="0.3">
      <c r="B78" s="111"/>
      <c r="C78" s="111"/>
      <c r="D78" s="116"/>
      <c r="E78" s="116"/>
      <c r="F78" s="111"/>
      <c r="G78" s="111"/>
      <c r="H78" s="112"/>
      <c r="I78" s="117"/>
      <c r="J78" s="117"/>
      <c r="K78" s="117"/>
      <c r="L78" s="117"/>
      <c r="M78" s="119"/>
      <c r="N78" s="119"/>
      <c r="O78" s="112"/>
    </row>
    <row r="79" spans="2:15" ht="25" customHeight="1" x14ac:dyDescent="0.3">
      <c r="B79" s="111"/>
      <c r="C79" s="111"/>
      <c r="D79" s="116"/>
      <c r="E79" s="116"/>
      <c r="F79" s="111"/>
      <c r="G79" s="111"/>
      <c r="H79" s="112"/>
      <c r="I79" s="117"/>
      <c r="J79" s="117"/>
      <c r="K79" s="117"/>
      <c r="L79" s="117"/>
      <c r="M79" s="119"/>
      <c r="N79" s="119"/>
      <c r="O79" s="112"/>
    </row>
    <row r="80" spans="2:15" ht="25" customHeight="1" x14ac:dyDescent="0.3">
      <c r="B80" s="111"/>
      <c r="C80" s="111"/>
      <c r="D80" s="116"/>
      <c r="E80" s="116"/>
      <c r="F80" s="111"/>
      <c r="G80" s="111"/>
      <c r="H80" s="112"/>
      <c r="I80" s="117"/>
      <c r="J80" s="117"/>
      <c r="K80" s="117"/>
      <c r="L80" s="117"/>
      <c r="M80" s="119"/>
      <c r="N80" s="119"/>
      <c r="O80" s="112"/>
    </row>
    <row r="81" spans="2:15" ht="25" customHeight="1" x14ac:dyDescent="0.3">
      <c r="B81" s="111"/>
      <c r="C81" s="111"/>
      <c r="D81" s="116"/>
      <c r="E81" s="116"/>
      <c r="F81" s="111"/>
      <c r="G81" s="111"/>
      <c r="H81" s="112"/>
      <c r="I81" s="117"/>
      <c r="J81" s="117"/>
      <c r="K81" s="117"/>
      <c r="L81" s="117"/>
      <c r="M81" s="119"/>
      <c r="N81" s="119"/>
      <c r="O81" s="112"/>
    </row>
    <row r="82" spans="2:15" ht="25" customHeight="1" x14ac:dyDescent="0.3">
      <c r="B82" s="111"/>
      <c r="C82" s="111"/>
      <c r="D82" s="116"/>
      <c r="E82" s="116"/>
      <c r="F82" s="111"/>
      <c r="G82" s="111"/>
      <c r="H82" s="112"/>
      <c r="I82" s="117"/>
      <c r="J82" s="117"/>
      <c r="K82" s="117"/>
      <c r="L82" s="117"/>
      <c r="M82" s="119"/>
      <c r="N82" s="119"/>
      <c r="O82" s="112"/>
    </row>
    <row r="83" spans="2:15" ht="25" customHeight="1" x14ac:dyDescent="0.3">
      <c r="B83" s="111"/>
      <c r="C83" s="111"/>
      <c r="D83" s="116"/>
      <c r="E83" s="116"/>
      <c r="F83" s="111"/>
      <c r="G83" s="111"/>
      <c r="H83" s="112"/>
      <c r="I83" s="117"/>
      <c r="J83" s="117"/>
      <c r="K83" s="117"/>
      <c r="L83" s="117"/>
      <c r="M83" s="119"/>
      <c r="N83" s="119"/>
      <c r="O83" s="112"/>
    </row>
    <row r="84" spans="2:15" ht="25" customHeight="1" x14ac:dyDescent="0.3">
      <c r="B84" s="111"/>
      <c r="C84" s="111"/>
      <c r="D84" s="116"/>
      <c r="E84" s="116"/>
      <c r="F84" s="111"/>
      <c r="G84" s="111"/>
      <c r="H84" s="112"/>
      <c r="I84" s="117"/>
      <c r="J84" s="117"/>
      <c r="K84" s="117"/>
      <c r="L84" s="117"/>
      <c r="M84" s="119"/>
      <c r="N84" s="119"/>
      <c r="O84" s="112"/>
    </row>
    <row r="85" spans="2:15" ht="25" customHeight="1" x14ac:dyDescent="0.3">
      <c r="B85" s="111"/>
      <c r="C85" s="111"/>
      <c r="D85" s="116"/>
      <c r="E85" s="116"/>
      <c r="F85" s="111"/>
      <c r="G85" s="111"/>
      <c r="H85" s="112"/>
      <c r="I85" s="117"/>
      <c r="J85" s="117"/>
      <c r="K85" s="117"/>
      <c r="L85" s="117"/>
      <c r="M85" s="119"/>
      <c r="N85" s="119"/>
      <c r="O85" s="112"/>
    </row>
    <row r="86" spans="2:15" ht="25" customHeight="1" x14ac:dyDescent="0.3">
      <c r="B86" s="111"/>
      <c r="C86" s="111"/>
      <c r="D86" s="116"/>
      <c r="E86" s="116"/>
      <c r="F86" s="111"/>
      <c r="G86" s="111"/>
      <c r="H86" s="112"/>
      <c r="I86" s="117"/>
      <c r="J86" s="117"/>
      <c r="K86" s="117"/>
      <c r="L86" s="117"/>
      <c r="M86" s="119"/>
      <c r="N86" s="119"/>
      <c r="O86" s="112"/>
    </row>
    <row r="87" spans="2:15" ht="25" customHeight="1" x14ac:dyDescent="0.3">
      <c r="B87" s="111"/>
      <c r="C87" s="111"/>
      <c r="D87" s="116"/>
      <c r="E87" s="116"/>
      <c r="F87" s="111"/>
      <c r="G87" s="111"/>
      <c r="H87" s="112"/>
      <c r="I87" s="117"/>
      <c r="J87" s="117"/>
      <c r="K87" s="117"/>
      <c r="L87" s="117"/>
      <c r="M87" s="119"/>
      <c r="N87" s="119"/>
      <c r="O87" s="112"/>
    </row>
    <row r="88" spans="2:15" ht="25" customHeight="1" x14ac:dyDescent="0.3">
      <c r="B88" s="111"/>
      <c r="C88" s="111"/>
      <c r="D88" s="116"/>
      <c r="E88" s="116"/>
      <c r="F88" s="111"/>
      <c r="G88" s="111"/>
      <c r="H88" s="112"/>
      <c r="I88" s="117"/>
      <c r="J88" s="117"/>
      <c r="K88" s="117"/>
      <c r="L88" s="117"/>
      <c r="M88" s="119"/>
      <c r="N88" s="119"/>
      <c r="O88" s="112"/>
    </row>
    <row r="89" spans="2:15" ht="25" customHeight="1" x14ac:dyDescent="0.3">
      <c r="B89" s="111"/>
      <c r="C89" s="111"/>
      <c r="D89" s="116"/>
      <c r="E89" s="116"/>
      <c r="F89" s="111"/>
      <c r="G89" s="111"/>
      <c r="H89" s="112"/>
      <c r="I89" s="117"/>
      <c r="J89" s="117"/>
      <c r="K89" s="117"/>
      <c r="L89" s="117"/>
      <c r="M89" s="119"/>
      <c r="N89" s="119"/>
      <c r="O89" s="112"/>
    </row>
    <row r="90" spans="2:15" ht="25" customHeight="1" x14ac:dyDescent="0.3">
      <c r="B90" s="111"/>
      <c r="C90" s="111"/>
      <c r="D90" s="116"/>
      <c r="E90" s="116"/>
      <c r="F90" s="111"/>
      <c r="G90" s="111"/>
      <c r="H90" s="112"/>
      <c r="I90" s="117"/>
      <c r="J90" s="117"/>
      <c r="K90" s="117"/>
      <c r="L90" s="117"/>
      <c r="M90" s="119"/>
      <c r="N90" s="119"/>
      <c r="O90" s="112"/>
    </row>
    <row r="91" spans="2:15" ht="25" customHeight="1" x14ac:dyDescent="0.3">
      <c r="B91" s="111"/>
      <c r="C91" s="111"/>
      <c r="D91" s="116"/>
      <c r="E91" s="116"/>
      <c r="F91" s="111"/>
      <c r="G91" s="111"/>
      <c r="H91" s="112"/>
      <c r="I91" s="117"/>
      <c r="J91" s="117"/>
      <c r="K91" s="117"/>
      <c r="L91" s="117"/>
      <c r="M91" s="119"/>
      <c r="N91" s="119"/>
      <c r="O91" s="112"/>
    </row>
    <row r="92" spans="2:15" ht="25" customHeight="1" x14ac:dyDescent="0.3">
      <c r="B92" s="111"/>
      <c r="C92" s="111"/>
      <c r="D92" s="116"/>
      <c r="E92" s="116"/>
      <c r="F92" s="111"/>
      <c r="G92" s="111"/>
      <c r="H92" s="112"/>
      <c r="I92" s="117"/>
      <c r="J92" s="117"/>
      <c r="K92" s="117"/>
      <c r="L92" s="117"/>
      <c r="M92" s="119"/>
      <c r="N92" s="119"/>
      <c r="O92" s="112"/>
    </row>
    <row r="93" spans="2:15" ht="25" customHeight="1" x14ac:dyDescent="0.3">
      <c r="B93" s="111"/>
      <c r="C93" s="111"/>
      <c r="D93" s="116"/>
      <c r="E93" s="116"/>
      <c r="F93" s="111"/>
      <c r="G93" s="111"/>
      <c r="H93" s="112"/>
      <c r="I93" s="117"/>
      <c r="J93" s="117"/>
      <c r="K93" s="117"/>
      <c r="L93" s="117"/>
      <c r="M93" s="119"/>
      <c r="N93" s="119"/>
      <c r="O93" s="112"/>
    </row>
    <row r="94" spans="2:15" ht="25" customHeight="1" x14ac:dyDescent="0.3">
      <c r="B94" s="111"/>
      <c r="C94" s="111"/>
      <c r="D94" s="116"/>
      <c r="E94" s="116"/>
      <c r="F94" s="111"/>
      <c r="G94" s="111"/>
      <c r="H94" s="112"/>
      <c r="I94" s="117"/>
      <c r="J94" s="117"/>
      <c r="K94" s="117"/>
      <c r="L94" s="117"/>
      <c r="M94" s="119"/>
      <c r="N94" s="119"/>
      <c r="O94" s="112"/>
    </row>
    <row r="95" spans="2:15" ht="25" customHeight="1" x14ac:dyDescent="0.3">
      <c r="B95" s="111"/>
      <c r="C95" s="111"/>
      <c r="D95" s="116"/>
      <c r="E95" s="116"/>
      <c r="F95" s="111"/>
      <c r="G95" s="111"/>
      <c r="H95" s="112"/>
      <c r="I95" s="117"/>
      <c r="J95" s="117"/>
      <c r="K95" s="117"/>
      <c r="L95" s="117"/>
      <c r="M95" s="119"/>
      <c r="N95" s="119"/>
      <c r="O95" s="112"/>
    </row>
    <row r="96" spans="2:15" ht="25" customHeight="1" x14ac:dyDescent="0.3">
      <c r="B96" s="111"/>
      <c r="C96" s="111"/>
      <c r="D96" s="116"/>
      <c r="E96" s="116"/>
      <c r="F96" s="111"/>
      <c r="G96" s="111"/>
      <c r="H96" s="112"/>
      <c r="I96" s="117"/>
      <c r="J96" s="117"/>
      <c r="K96" s="117"/>
      <c r="L96" s="117"/>
      <c r="M96" s="119"/>
      <c r="N96" s="119"/>
      <c r="O96" s="112"/>
    </row>
    <row r="97" spans="2:15" ht="25" customHeight="1" x14ac:dyDescent="0.3">
      <c r="B97" s="111"/>
      <c r="C97" s="111"/>
      <c r="D97" s="116"/>
      <c r="E97" s="116"/>
      <c r="F97" s="111"/>
      <c r="G97" s="111"/>
      <c r="H97" s="112"/>
      <c r="I97" s="117"/>
      <c r="J97" s="117"/>
      <c r="K97" s="117"/>
      <c r="L97" s="117"/>
      <c r="M97" s="119"/>
      <c r="N97" s="119"/>
      <c r="O97" s="112"/>
    </row>
    <row r="98" spans="2:15" ht="25" customHeight="1" x14ac:dyDescent="0.3">
      <c r="B98" s="111"/>
      <c r="C98" s="111"/>
      <c r="D98" s="116"/>
      <c r="E98" s="116"/>
      <c r="F98" s="111"/>
      <c r="G98" s="111"/>
      <c r="H98" s="112"/>
      <c r="I98" s="117"/>
      <c r="J98" s="117"/>
      <c r="K98" s="117"/>
      <c r="L98" s="117"/>
      <c r="M98" s="119"/>
      <c r="N98" s="119"/>
      <c r="O98" s="112"/>
    </row>
    <row r="99" spans="2:15" ht="25" customHeight="1" x14ac:dyDescent="0.3">
      <c r="B99" s="111"/>
      <c r="C99" s="111"/>
      <c r="D99" s="116"/>
      <c r="E99" s="116"/>
      <c r="F99" s="111"/>
      <c r="G99" s="111"/>
      <c r="H99" s="112"/>
      <c r="I99" s="117"/>
      <c r="J99" s="117"/>
      <c r="K99" s="117"/>
      <c r="L99" s="117"/>
      <c r="M99" s="119"/>
      <c r="N99" s="119"/>
      <c r="O99" s="112"/>
    </row>
    <row r="100" spans="2:15" ht="25" customHeight="1" x14ac:dyDescent="0.3">
      <c r="B100" s="111"/>
      <c r="C100" s="111"/>
      <c r="D100" s="116"/>
      <c r="E100" s="116"/>
      <c r="F100" s="111"/>
      <c r="G100" s="111"/>
      <c r="H100" s="112"/>
      <c r="I100" s="117"/>
      <c r="J100" s="117"/>
      <c r="K100" s="117"/>
      <c r="L100" s="117"/>
      <c r="M100" s="119"/>
      <c r="N100" s="119"/>
      <c r="O100" s="112"/>
    </row>
    <row r="101" spans="2:15" ht="25" customHeight="1" x14ac:dyDescent="0.3">
      <c r="B101" s="111"/>
      <c r="C101" s="111"/>
      <c r="D101" s="116"/>
      <c r="E101" s="116"/>
      <c r="F101" s="111"/>
      <c r="G101" s="111"/>
      <c r="H101" s="112"/>
      <c r="I101" s="117"/>
      <c r="J101" s="117"/>
      <c r="K101" s="117"/>
      <c r="L101" s="117"/>
      <c r="M101" s="119"/>
      <c r="N101" s="119"/>
      <c r="O101" s="112"/>
    </row>
    <row r="102" spans="2:15" ht="25" customHeight="1" x14ac:dyDescent="0.3">
      <c r="B102" s="111"/>
      <c r="C102" s="111"/>
      <c r="D102" s="116"/>
      <c r="E102" s="116"/>
      <c r="F102" s="111"/>
      <c r="G102" s="111"/>
      <c r="H102" s="112"/>
      <c r="I102" s="117"/>
      <c r="J102" s="117"/>
      <c r="K102" s="117"/>
      <c r="L102" s="117"/>
      <c r="M102" s="119"/>
      <c r="N102" s="119"/>
      <c r="O102" s="112"/>
    </row>
    <row r="103" spans="2:15" ht="25" customHeight="1" x14ac:dyDescent="0.3">
      <c r="B103" s="111"/>
      <c r="C103" s="111"/>
      <c r="D103" s="116"/>
      <c r="E103" s="116"/>
      <c r="F103" s="111"/>
      <c r="G103" s="111"/>
      <c r="H103" s="112"/>
      <c r="I103" s="117"/>
      <c r="J103" s="117"/>
      <c r="K103" s="117"/>
      <c r="L103" s="117"/>
      <c r="M103" s="119"/>
      <c r="N103" s="119"/>
      <c r="O103" s="112"/>
    </row>
    <row r="104" spans="2:15" ht="25" customHeight="1" x14ac:dyDescent="0.3">
      <c r="B104" s="111"/>
      <c r="C104" s="111"/>
      <c r="D104" s="116"/>
      <c r="E104" s="116"/>
      <c r="F104" s="111"/>
      <c r="G104" s="111"/>
      <c r="H104" s="112"/>
      <c r="I104" s="117"/>
      <c r="J104" s="117"/>
      <c r="K104" s="117"/>
      <c r="L104" s="117"/>
      <c r="M104" s="119"/>
      <c r="N104" s="119"/>
      <c r="O104" s="112"/>
    </row>
    <row r="105" spans="2:15" ht="25" customHeight="1" x14ac:dyDescent="0.3">
      <c r="B105" s="111"/>
      <c r="C105" s="111"/>
      <c r="D105" s="116"/>
      <c r="E105" s="116"/>
      <c r="F105" s="111"/>
      <c r="G105" s="111"/>
      <c r="H105" s="112"/>
      <c r="I105" s="117"/>
      <c r="J105" s="117"/>
      <c r="K105" s="117"/>
      <c r="L105" s="117"/>
      <c r="M105" s="119"/>
      <c r="N105" s="119"/>
      <c r="O105" s="112"/>
    </row>
    <row r="106" spans="2:15" ht="25" customHeight="1" x14ac:dyDescent="0.3">
      <c r="B106" s="111"/>
      <c r="C106" s="111"/>
      <c r="D106" s="116"/>
      <c r="E106" s="116"/>
      <c r="F106" s="111"/>
      <c r="G106" s="111"/>
      <c r="H106" s="112"/>
      <c r="I106" s="117"/>
      <c r="J106" s="117"/>
      <c r="K106" s="117"/>
      <c r="L106" s="117"/>
      <c r="M106" s="119"/>
      <c r="N106" s="119"/>
      <c r="O106" s="112"/>
    </row>
    <row r="107" spans="2:15" ht="25" customHeight="1" x14ac:dyDescent="0.3">
      <c r="B107" s="111"/>
      <c r="C107" s="111"/>
      <c r="D107" s="116"/>
      <c r="E107" s="116"/>
      <c r="F107" s="111"/>
      <c r="G107" s="111"/>
      <c r="H107" s="112"/>
      <c r="I107" s="117"/>
      <c r="J107" s="117"/>
      <c r="K107" s="117"/>
      <c r="L107" s="117"/>
      <c r="M107" s="119"/>
      <c r="N107" s="119"/>
      <c r="O107" s="112"/>
    </row>
    <row r="108" spans="2:15" ht="25" customHeight="1" x14ac:dyDescent="0.3">
      <c r="B108" s="111"/>
      <c r="C108" s="111"/>
      <c r="D108" s="116"/>
      <c r="E108" s="116"/>
      <c r="F108" s="111"/>
      <c r="G108" s="111"/>
      <c r="H108" s="112"/>
      <c r="I108" s="117"/>
      <c r="J108" s="117"/>
      <c r="K108" s="117"/>
      <c r="L108" s="117"/>
      <c r="M108" s="119"/>
      <c r="N108" s="119"/>
      <c r="O108" s="112"/>
    </row>
    <row r="109" spans="2:15" ht="25" customHeight="1" x14ac:dyDescent="0.3">
      <c r="B109" s="111"/>
      <c r="C109" s="111"/>
      <c r="D109" s="116"/>
      <c r="E109" s="116"/>
      <c r="F109" s="111"/>
      <c r="G109" s="111"/>
      <c r="H109" s="112"/>
      <c r="I109" s="117"/>
      <c r="J109" s="117"/>
      <c r="K109" s="117"/>
      <c r="L109" s="117"/>
      <c r="M109" s="119"/>
      <c r="N109" s="119"/>
      <c r="O109" s="112"/>
    </row>
    <row r="110" spans="2:15" ht="25" customHeight="1" x14ac:dyDescent="0.3">
      <c r="B110" s="111"/>
      <c r="C110" s="111"/>
      <c r="D110" s="116"/>
      <c r="E110" s="116"/>
      <c r="F110" s="111"/>
      <c r="G110" s="111"/>
      <c r="H110" s="112"/>
      <c r="I110" s="117"/>
      <c r="J110" s="117"/>
      <c r="K110" s="117"/>
      <c r="L110" s="117"/>
      <c r="M110" s="119"/>
      <c r="N110" s="119"/>
      <c r="O110" s="112"/>
    </row>
    <row r="111" spans="2:15" ht="25" customHeight="1" x14ac:dyDescent="0.3">
      <c r="B111" s="111"/>
      <c r="C111" s="111"/>
      <c r="D111" s="116"/>
      <c r="E111" s="116"/>
      <c r="F111" s="111"/>
      <c r="G111" s="111"/>
      <c r="H111" s="112"/>
      <c r="I111" s="117"/>
      <c r="J111" s="117"/>
      <c r="K111" s="117"/>
      <c r="L111" s="117"/>
      <c r="M111" s="119"/>
      <c r="N111" s="119"/>
      <c r="O111" s="112"/>
    </row>
    <row r="112" spans="2:15" ht="25" customHeight="1" x14ac:dyDescent="0.3">
      <c r="B112" s="111"/>
      <c r="C112" s="111"/>
      <c r="D112" s="116"/>
      <c r="E112" s="116"/>
      <c r="F112" s="111"/>
      <c r="G112" s="111"/>
      <c r="H112" s="112"/>
      <c r="I112" s="117"/>
      <c r="J112" s="117"/>
      <c r="K112" s="117"/>
      <c r="L112" s="117"/>
      <c r="M112" s="119"/>
      <c r="N112" s="119"/>
      <c r="O112" s="112"/>
    </row>
    <row r="113" spans="2:15" ht="25" customHeight="1" x14ac:dyDescent="0.3">
      <c r="B113" s="111"/>
      <c r="C113" s="111"/>
      <c r="D113" s="116"/>
      <c r="E113" s="116"/>
      <c r="F113" s="111"/>
      <c r="G113" s="111"/>
      <c r="H113" s="112"/>
      <c r="I113" s="117"/>
      <c r="J113" s="117"/>
      <c r="K113" s="117"/>
      <c r="L113" s="117"/>
      <c r="M113" s="119"/>
      <c r="N113" s="119"/>
      <c r="O113" s="112"/>
    </row>
    <row r="114" spans="2:15" ht="25" customHeight="1" x14ac:dyDescent="0.3">
      <c r="B114" s="111"/>
      <c r="C114" s="111"/>
      <c r="D114" s="116"/>
      <c r="E114" s="116"/>
      <c r="F114" s="111"/>
      <c r="G114" s="111"/>
      <c r="H114" s="112"/>
      <c r="I114" s="117"/>
      <c r="J114" s="117"/>
      <c r="K114" s="117"/>
      <c r="L114" s="117"/>
      <c r="M114" s="119"/>
      <c r="N114" s="119"/>
      <c r="O114" s="112"/>
    </row>
    <row r="115" spans="2:15" ht="25" customHeight="1" x14ac:dyDescent="0.3">
      <c r="B115" s="111"/>
      <c r="C115" s="111"/>
      <c r="D115" s="116"/>
      <c r="E115" s="116"/>
      <c r="F115" s="111"/>
      <c r="G115" s="111"/>
      <c r="H115" s="112"/>
      <c r="I115" s="117"/>
      <c r="J115" s="117"/>
      <c r="K115" s="117"/>
      <c r="L115" s="117"/>
      <c r="M115" s="119"/>
      <c r="N115" s="119"/>
      <c r="O115" s="112"/>
    </row>
    <row r="116" spans="2:15" ht="25" customHeight="1" x14ac:dyDescent="0.3">
      <c r="B116" s="111"/>
      <c r="C116" s="111"/>
      <c r="D116" s="116"/>
      <c r="E116" s="116"/>
      <c r="F116" s="111"/>
      <c r="G116" s="111"/>
      <c r="H116" s="112"/>
      <c r="I116" s="117"/>
      <c r="J116" s="117"/>
      <c r="K116" s="117"/>
      <c r="L116" s="117"/>
      <c r="M116" s="119"/>
      <c r="N116" s="119"/>
      <c r="O116" s="112"/>
    </row>
    <row r="117" spans="2:15" ht="25" customHeight="1" x14ac:dyDescent="0.3">
      <c r="B117" s="111"/>
      <c r="C117" s="111"/>
      <c r="D117" s="116"/>
      <c r="E117" s="116"/>
      <c r="F117" s="111"/>
      <c r="G117" s="111"/>
      <c r="H117" s="112"/>
      <c r="I117" s="117"/>
      <c r="J117" s="117"/>
      <c r="K117" s="117"/>
      <c r="L117" s="117"/>
      <c r="M117" s="119"/>
      <c r="N117" s="119"/>
      <c r="O117" s="112"/>
    </row>
    <row r="118" spans="2:15" ht="25" customHeight="1" x14ac:dyDescent="0.3">
      <c r="B118" s="111"/>
      <c r="C118" s="111"/>
      <c r="D118" s="116"/>
      <c r="E118" s="116"/>
      <c r="F118" s="111"/>
      <c r="G118" s="111"/>
      <c r="H118" s="112"/>
      <c r="I118" s="117"/>
      <c r="J118" s="117"/>
      <c r="K118" s="117"/>
      <c r="L118" s="117"/>
      <c r="M118" s="119"/>
      <c r="N118" s="119"/>
      <c r="O118" s="112"/>
    </row>
    <row r="119" spans="2:15" ht="25" customHeight="1" x14ac:dyDescent="0.3">
      <c r="B119" s="111"/>
      <c r="C119" s="111"/>
      <c r="D119" s="116"/>
      <c r="E119" s="116"/>
      <c r="F119" s="111"/>
      <c r="G119" s="111"/>
      <c r="H119" s="112"/>
      <c r="I119" s="117"/>
      <c r="J119" s="117"/>
      <c r="K119" s="117"/>
      <c r="L119" s="117"/>
      <c r="M119" s="119"/>
      <c r="N119" s="119"/>
      <c r="O119" s="112"/>
    </row>
    <row r="120" spans="2:15" ht="25" customHeight="1" x14ac:dyDescent="0.3">
      <c r="B120" s="111"/>
      <c r="C120" s="111"/>
      <c r="D120" s="116"/>
      <c r="E120" s="116"/>
      <c r="F120" s="111"/>
      <c r="G120" s="111"/>
      <c r="H120" s="112"/>
      <c r="I120" s="117"/>
      <c r="J120" s="117"/>
      <c r="K120" s="117"/>
      <c r="L120" s="117"/>
      <c r="M120" s="119"/>
      <c r="N120" s="119"/>
      <c r="O120" s="112"/>
    </row>
    <row r="121" spans="2:15" ht="25" customHeight="1" x14ac:dyDescent="0.3">
      <c r="B121" s="111"/>
      <c r="C121" s="111"/>
      <c r="D121" s="116"/>
      <c r="E121" s="116"/>
      <c r="F121" s="111"/>
      <c r="G121" s="111"/>
      <c r="H121" s="112"/>
      <c r="I121" s="117"/>
      <c r="J121" s="117"/>
      <c r="K121" s="117"/>
      <c r="L121" s="117"/>
      <c r="M121" s="119"/>
      <c r="N121" s="119"/>
      <c r="O121" s="112"/>
    </row>
    <row r="122" spans="2:15" ht="25" customHeight="1" x14ac:dyDescent="0.3">
      <c r="B122" s="111"/>
      <c r="C122" s="111"/>
      <c r="D122" s="116"/>
      <c r="E122" s="116"/>
      <c r="F122" s="111"/>
      <c r="G122" s="111"/>
      <c r="H122" s="112"/>
      <c r="I122" s="117"/>
      <c r="J122" s="117"/>
      <c r="K122" s="117"/>
      <c r="L122" s="117"/>
      <c r="M122" s="119"/>
      <c r="N122" s="119"/>
      <c r="O122" s="112"/>
    </row>
    <row r="123" spans="2:15" ht="25" customHeight="1" x14ac:dyDescent="0.3">
      <c r="B123" s="111"/>
      <c r="C123" s="111"/>
      <c r="D123" s="116"/>
      <c r="E123" s="116"/>
      <c r="F123" s="111"/>
      <c r="G123" s="111"/>
      <c r="H123" s="112"/>
      <c r="I123" s="117"/>
      <c r="J123" s="117"/>
      <c r="K123" s="117"/>
      <c r="L123" s="117"/>
      <c r="M123" s="119"/>
      <c r="N123" s="119"/>
      <c r="O123" s="112"/>
    </row>
    <row r="124" spans="2:15" ht="25" customHeight="1" x14ac:dyDescent="0.3">
      <c r="B124" s="111"/>
      <c r="C124" s="111"/>
      <c r="D124" s="116"/>
      <c r="E124" s="116"/>
      <c r="F124" s="111"/>
      <c r="G124" s="111"/>
      <c r="H124" s="112"/>
      <c r="I124" s="117"/>
      <c r="J124" s="117"/>
      <c r="K124" s="117"/>
      <c r="L124" s="117"/>
      <c r="M124" s="119"/>
      <c r="N124" s="119"/>
      <c r="O124" s="112"/>
    </row>
    <row r="125" spans="2:15" ht="25" customHeight="1" x14ac:dyDescent="0.3">
      <c r="B125" s="111"/>
      <c r="C125" s="111"/>
      <c r="D125" s="116"/>
      <c r="E125" s="116"/>
      <c r="F125" s="111"/>
      <c r="G125" s="111"/>
      <c r="H125" s="112"/>
      <c r="I125" s="117"/>
      <c r="J125" s="117"/>
      <c r="K125" s="117"/>
      <c r="L125" s="117"/>
      <c r="M125" s="119"/>
      <c r="N125" s="119"/>
      <c r="O125" s="112"/>
    </row>
    <row r="126" spans="2:15" ht="25" customHeight="1" x14ac:dyDescent="0.3">
      <c r="B126" s="111"/>
      <c r="C126" s="111"/>
      <c r="D126" s="116"/>
      <c r="E126" s="116"/>
      <c r="F126" s="111"/>
      <c r="G126" s="111"/>
      <c r="H126" s="112"/>
      <c r="I126" s="117"/>
      <c r="J126" s="117"/>
      <c r="K126" s="117"/>
      <c r="L126" s="117"/>
      <c r="M126" s="119"/>
      <c r="N126" s="119"/>
      <c r="O126" s="112"/>
    </row>
    <row r="127" spans="2:15" ht="25" customHeight="1" x14ac:dyDescent="0.3">
      <c r="B127" s="111"/>
      <c r="C127" s="111"/>
      <c r="D127" s="116"/>
      <c r="E127" s="116"/>
      <c r="F127" s="111"/>
      <c r="G127" s="111"/>
      <c r="H127" s="112"/>
      <c r="I127" s="117"/>
      <c r="J127" s="117"/>
      <c r="K127" s="117"/>
      <c r="L127" s="117"/>
      <c r="M127" s="119"/>
      <c r="N127" s="119"/>
      <c r="O127" s="112"/>
    </row>
    <row r="128" spans="2:15" ht="25" customHeight="1" x14ac:dyDescent="0.3">
      <c r="B128" s="111"/>
      <c r="C128" s="111"/>
      <c r="D128" s="116"/>
      <c r="E128" s="116"/>
      <c r="F128" s="111"/>
      <c r="G128" s="111"/>
      <c r="H128" s="112"/>
      <c r="I128" s="117"/>
      <c r="J128" s="117"/>
      <c r="K128" s="117"/>
      <c r="L128" s="117"/>
      <c r="M128" s="119"/>
      <c r="N128" s="119"/>
      <c r="O128" s="112"/>
    </row>
    <row r="129" spans="2:15" ht="25" customHeight="1" x14ac:dyDescent="0.3">
      <c r="B129" s="111"/>
      <c r="C129" s="111"/>
      <c r="D129" s="116"/>
      <c r="E129" s="116"/>
      <c r="F129" s="111"/>
      <c r="G129" s="111"/>
      <c r="H129" s="112"/>
      <c r="I129" s="117"/>
      <c r="J129" s="117"/>
      <c r="K129" s="117"/>
      <c r="L129" s="117"/>
      <c r="M129" s="119"/>
      <c r="N129" s="119"/>
      <c r="O129" s="112"/>
    </row>
    <row r="130" spans="2:15" ht="25" customHeight="1" x14ac:dyDescent="0.3">
      <c r="B130" s="111"/>
      <c r="C130" s="111"/>
      <c r="D130" s="116"/>
      <c r="E130" s="116"/>
      <c r="F130" s="111"/>
      <c r="G130" s="111"/>
      <c r="H130" s="112"/>
      <c r="I130" s="117"/>
      <c r="J130" s="117"/>
      <c r="K130" s="117"/>
      <c r="L130" s="117"/>
      <c r="M130" s="119"/>
      <c r="N130" s="119"/>
      <c r="O130" s="112"/>
    </row>
    <row r="131" spans="2:15" ht="25" customHeight="1" x14ac:dyDescent="0.3">
      <c r="B131" s="111"/>
      <c r="C131" s="111"/>
      <c r="D131" s="116"/>
      <c r="E131" s="116"/>
      <c r="F131" s="111"/>
      <c r="G131" s="111"/>
      <c r="H131" s="112"/>
      <c r="I131" s="117"/>
      <c r="J131" s="117"/>
      <c r="K131" s="117"/>
      <c r="L131" s="117"/>
      <c r="M131" s="119"/>
      <c r="N131" s="119"/>
      <c r="O131" s="112"/>
    </row>
    <row r="132" spans="2:15" ht="25" customHeight="1" x14ac:dyDescent="0.3">
      <c r="B132" s="111"/>
      <c r="C132" s="111"/>
      <c r="D132" s="116"/>
      <c r="E132" s="116"/>
      <c r="F132" s="111"/>
      <c r="G132" s="111"/>
      <c r="H132" s="112"/>
      <c r="I132" s="117"/>
      <c r="J132" s="117"/>
      <c r="K132" s="117"/>
      <c r="L132" s="117"/>
      <c r="M132" s="119"/>
      <c r="N132" s="119"/>
      <c r="O132" s="112"/>
    </row>
    <row r="133" spans="2:15" ht="25" customHeight="1" x14ac:dyDescent="0.3">
      <c r="B133" s="111"/>
      <c r="C133" s="111"/>
      <c r="D133" s="116"/>
      <c r="E133" s="116"/>
      <c r="F133" s="111"/>
      <c r="G133" s="111"/>
      <c r="H133" s="112"/>
      <c r="I133" s="117"/>
      <c r="J133" s="117"/>
      <c r="K133" s="117"/>
      <c r="L133" s="117"/>
      <c r="M133" s="119"/>
      <c r="N133" s="119"/>
      <c r="O133" s="112"/>
    </row>
    <row r="134" spans="2:15" ht="25" customHeight="1" x14ac:dyDescent="0.3">
      <c r="B134" s="111"/>
      <c r="C134" s="111"/>
      <c r="D134" s="116"/>
      <c r="E134" s="116"/>
      <c r="F134" s="111"/>
      <c r="G134" s="111"/>
      <c r="H134" s="112"/>
      <c r="I134" s="117"/>
      <c r="J134" s="117"/>
      <c r="K134" s="117"/>
      <c r="L134" s="117"/>
      <c r="M134" s="119"/>
      <c r="N134" s="119"/>
      <c r="O134" s="112"/>
    </row>
    <row r="135" spans="2:15" ht="25" customHeight="1" x14ac:dyDescent="0.3">
      <c r="B135" s="111"/>
      <c r="C135" s="111"/>
      <c r="D135" s="116"/>
      <c r="E135" s="116"/>
      <c r="F135" s="111"/>
      <c r="G135" s="111"/>
      <c r="H135" s="112"/>
      <c r="I135" s="117"/>
      <c r="J135" s="117"/>
      <c r="K135" s="117"/>
      <c r="L135" s="117"/>
      <c r="M135" s="119"/>
      <c r="N135" s="119"/>
      <c r="O135" s="112"/>
    </row>
    <row r="136" spans="2:15" ht="25" customHeight="1" x14ac:dyDescent="0.3">
      <c r="B136" s="111"/>
      <c r="C136" s="111"/>
      <c r="D136" s="116"/>
      <c r="E136" s="116"/>
      <c r="F136" s="111"/>
      <c r="G136" s="111"/>
      <c r="H136" s="112"/>
      <c r="I136" s="117"/>
      <c r="J136" s="117"/>
      <c r="K136" s="117"/>
      <c r="L136" s="117"/>
      <c r="M136" s="119"/>
      <c r="N136" s="119"/>
      <c r="O136" s="112"/>
    </row>
    <row r="137" spans="2:15" ht="25" customHeight="1" x14ac:dyDescent="0.3">
      <c r="B137" s="111"/>
      <c r="C137" s="111"/>
      <c r="D137" s="116"/>
      <c r="E137" s="116"/>
      <c r="F137" s="111"/>
      <c r="G137" s="111"/>
      <c r="H137" s="112"/>
      <c r="I137" s="117"/>
      <c r="J137" s="117"/>
      <c r="K137" s="117"/>
      <c r="L137" s="117"/>
      <c r="M137" s="119"/>
      <c r="N137" s="119"/>
      <c r="O137" s="112"/>
    </row>
    <row r="138" spans="2:15" ht="25" customHeight="1" x14ac:dyDescent="0.3">
      <c r="B138" s="111"/>
      <c r="C138" s="111"/>
      <c r="D138" s="116"/>
      <c r="E138" s="116"/>
      <c r="F138" s="111"/>
      <c r="G138" s="111"/>
      <c r="H138" s="112"/>
      <c r="I138" s="117"/>
      <c r="J138" s="117"/>
      <c r="K138" s="117"/>
      <c r="L138" s="117"/>
      <c r="M138" s="119"/>
      <c r="N138" s="119"/>
      <c r="O138" s="112"/>
    </row>
    <row r="139" spans="2:15" ht="25" customHeight="1" x14ac:dyDescent="0.3">
      <c r="B139" s="111"/>
      <c r="C139" s="111"/>
      <c r="D139" s="116"/>
      <c r="E139" s="116"/>
      <c r="F139" s="111"/>
      <c r="G139" s="111"/>
      <c r="H139" s="112"/>
      <c r="I139" s="117"/>
      <c r="J139" s="117"/>
      <c r="K139" s="117"/>
      <c r="L139" s="117"/>
      <c r="M139" s="119"/>
      <c r="N139" s="119"/>
      <c r="O139" s="112"/>
    </row>
    <row r="140" spans="2:15" ht="25" customHeight="1" x14ac:dyDescent="0.3">
      <c r="B140" s="111"/>
      <c r="C140" s="111"/>
      <c r="D140" s="116"/>
      <c r="E140" s="116"/>
      <c r="F140" s="111"/>
      <c r="G140" s="111"/>
      <c r="H140" s="112"/>
      <c r="I140" s="117"/>
      <c r="J140" s="117"/>
      <c r="K140" s="117"/>
      <c r="L140" s="117"/>
      <c r="M140" s="119"/>
      <c r="N140" s="119"/>
      <c r="O140" s="112"/>
    </row>
    <row r="141" spans="2:15" ht="25" customHeight="1" x14ac:dyDescent="0.3">
      <c r="B141" s="111"/>
      <c r="C141" s="111"/>
      <c r="D141" s="116"/>
      <c r="E141" s="116"/>
      <c r="F141" s="111"/>
      <c r="G141" s="111"/>
      <c r="H141" s="112"/>
      <c r="I141" s="117"/>
      <c r="J141" s="117"/>
      <c r="K141" s="117"/>
      <c r="L141" s="117"/>
      <c r="M141" s="119"/>
      <c r="N141" s="119"/>
      <c r="O141" s="112"/>
    </row>
    <row r="142" spans="2:15" ht="25" customHeight="1" x14ac:dyDescent="0.3">
      <c r="B142" s="111"/>
      <c r="C142" s="111"/>
      <c r="D142" s="116"/>
      <c r="E142" s="116"/>
      <c r="F142" s="111"/>
      <c r="G142" s="111"/>
      <c r="H142" s="112"/>
      <c r="I142" s="117"/>
      <c r="J142" s="117"/>
      <c r="K142" s="117"/>
      <c r="L142" s="117"/>
      <c r="M142" s="119"/>
      <c r="N142" s="119"/>
      <c r="O142" s="112"/>
    </row>
    <row r="143" spans="2:15" ht="25" customHeight="1" x14ac:dyDescent="0.3">
      <c r="B143" s="111"/>
      <c r="C143" s="111"/>
      <c r="D143" s="116"/>
      <c r="E143" s="116"/>
      <c r="F143" s="111"/>
      <c r="G143" s="111"/>
      <c r="H143" s="112"/>
      <c r="I143" s="117"/>
      <c r="J143" s="117"/>
      <c r="K143" s="117"/>
      <c r="L143" s="117"/>
      <c r="M143" s="119"/>
      <c r="N143" s="119"/>
      <c r="O143" s="112"/>
    </row>
    <row r="144" spans="2:15" ht="25" customHeight="1" x14ac:dyDescent="0.3">
      <c r="B144" s="111"/>
      <c r="C144" s="111"/>
      <c r="D144" s="116"/>
      <c r="E144" s="116"/>
      <c r="F144" s="111"/>
      <c r="G144" s="111"/>
      <c r="H144" s="112"/>
      <c r="I144" s="117"/>
      <c r="J144" s="117"/>
      <c r="K144" s="117"/>
      <c r="L144" s="117"/>
      <c r="M144" s="119"/>
      <c r="N144" s="119"/>
      <c r="O144" s="112"/>
    </row>
    <row r="145" spans="2:15" ht="25" customHeight="1" x14ac:dyDescent="0.3">
      <c r="B145" s="111"/>
      <c r="C145" s="111"/>
      <c r="D145" s="116"/>
      <c r="E145" s="116"/>
      <c r="F145" s="111"/>
      <c r="G145" s="111"/>
      <c r="H145" s="112"/>
      <c r="I145" s="117"/>
      <c r="J145" s="117"/>
      <c r="K145" s="117"/>
      <c r="L145" s="117"/>
      <c r="M145" s="119"/>
      <c r="N145" s="119"/>
      <c r="O145" s="112"/>
    </row>
    <row r="146" spans="2:15" ht="25" customHeight="1" x14ac:dyDescent="0.3">
      <c r="B146" s="111"/>
      <c r="C146" s="111"/>
      <c r="D146" s="116"/>
      <c r="E146" s="116"/>
      <c r="F146" s="111"/>
      <c r="G146" s="111"/>
      <c r="H146" s="112"/>
      <c r="I146" s="117"/>
      <c r="J146" s="117"/>
      <c r="K146" s="117"/>
      <c r="L146" s="117"/>
      <c r="M146" s="119"/>
      <c r="N146" s="119"/>
      <c r="O146" s="112"/>
    </row>
    <row r="147" spans="2:15" ht="25" customHeight="1" x14ac:dyDescent="0.3">
      <c r="B147" s="111"/>
      <c r="C147" s="111"/>
      <c r="D147" s="116"/>
      <c r="E147" s="116"/>
      <c r="F147" s="111"/>
      <c r="G147" s="111"/>
      <c r="H147" s="112"/>
      <c r="I147" s="117"/>
      <c r="J147" s="117"/>
      <c r="K147" s="117"/>
      <c r="L147" s="117"/>
      <c r="M147" s="119"/>
      <c r="N147" s="119"/>
      <c r="O147" s="112"/>
    </row>
    <row r="148" spans="2:15" ht="25" customHeight="1" x14ac:dyDescent="0.3">
      <c r="B148" s="111"/>
      <c r="C148" s="111"/>
      <c r="D148" s="116"/>
      <c r="E148" s="116"/>
      <c r="F148" s="111"/>
      <c r="G148" s="111"/>
      <c r="H148" s="112"/>
      <c r="I148" s="117"/>
      <c r="J148" s="117"/>
      <c r="K148" s="117"/>
      <c r="L148" s="117"/>
      <c r="M148" s="119"/>
      <c r="N148" s="119"/>
      <c r="O148" s="112"/>
    </row>
    <row r="149" spans="2:15" ht="25" customHeight="1" x14ac:dyDescent="0.3">
      <c r="B149" s="111"/>
      <c r="C149" s="111"/>
      <c r="D149" s="116"/>
      <c r="E149" s="116"/>
      <c r="F149" s="111"/>
      <c r="G149" s="111"/>
      <c r="H149" s="112"/>
      <c r="I149" s="117"/>
      <c r="J149" s="117"/>
      <c r="K149" s="117"/>
      <c r="L149" s="117"/>
      <c r="M149" s="119"/>
      <c r="N149" s="119"/>
      <c r="O149" s="112"/>
    </row>
    <row r="150" spans="2:15" ht="25" customHeight="1" x14ac:dyDescent="0.3">
      <c r="B150" s="111"/>
      <c r="C150" s="111"/>
      <c r="D150" s="116"/>
      <c r="E150" s="116"/>
      <c r="F150" s="111"/>
      <c r="G150" s="111"/>
      <c r="H150" s="112"/>
      <c r="I150" s="117"/>
      <c r="J150" s="117"/>
      <c r="K150" s="117"/>
      <c r="L150" s="117"/>
      <c r="M150" s="119"/>
      <c r="N150" s="119"/>
      <c r="O150" s="112"/>
    </row>
    <row r="151" spans="2:15" ht="25" customHeight="1" x14ac:dyDescent="0.3">
      <c r="B151" s="111"/>
      <c r="C151" s="111"/>
      <c r="D151" s="116"/>
      <c r="E151" s="116"/>
      <c r="F151" s="111"/>
      <c r="G151" s="111"/>
      <c r="H151" s="112"/>
      <c r="I151" s="117"/>
      <c r="J151" s="117"/>
      <c r="K151" s="117"/>
      <c r="L151" s="117"/>
      <c r="M151" s="119"/>
      <c r="N151" s="119"/>
      <c r="O151" s="112"/>
    </row>
    <row r="152" spans="2:15" ht="25" customHeight="1" x14ac:dyDescent="0.3">
      <c r="B152" s="111"/>
      <c r="C152" s="111"/>
      <c r="D152" s="116"/>
      <c r="E152" s="116"/>
      <c r="F152" s="111"/>
      <c r="G152" s="111"/>
      <c r="H152" s="112"/>
      <c r="I152" s="117"/>
      <c r="J152" s="117"/>
      <c r="K152" s="117"/>
      <c r="L152" s="117"/>
      <c r="M152" s="119"/>
      <c r="N152" s="119"/>
      <c r="O152" s="112"/>
    </row>
    <row r="153" spans="2:15" ht="25" customHeight="1" x14ac:dyDescent="0.3">
      <c r="B153" s="111"/>
      <c r="C153" s="111"/>
      <c r="D153" s="116"/>
      <c r="E153" s="116"/>
      <c r="F153" s="111"/>
      <c r="G153" s="111"/>
      <c r="H153" s="112"/>
      <c r="I153" s="117"/>
      <c r="J153" s="117"/>
      <c r="K153" s="117"/>
      <c r="L153" s="117"/>
      <c r="M153" s="119"/>
      <c r="N153" s="119"/>
      <c r="O153" s="112"/>
    </row>
    <row r="154" spans="2:15" ht="25" customHeight="1" x14ac:dyDescent="0.3">
      <c r="B154" s="111"/>
      <c r="C154" s="111"/>
      <c r="D154" s="116"/>
      <c r="E154" s="116"/>
      <c r="F154" s="111"/>
      <c r="G154" s="111"/>
      <c r="H154" s="112"/>
      <c r="I154" s="117"/>
      <c r="J154" s="117"/>
      <c r="K154" s="117"/>
      <c r="L154" s="117"/>
      <c r="M154" s="119"/>
      <c r="N154" s="119"/>
      <c r="O154" s="112"/>
    </row>
    <row r="155" spans="2:15" ht="25" customHeight="1" x14ac:dyDescent="0.3">
      <c r="B155" s="111"/>
      <c r="C155" s="111"/>
      <c r="D155" s="116"/>
      <c r="E155" s="116"/>
      <c r="F155" s="111"/>
      <c r="G155" s="111"/>
      <c r="H155" s="112"/>
      <c r="I155" s="117"/>
      <c r="J155" s="117"/>
      <c r="K155" s="117"/>
      <c r="L155" s="117"/>
      <c r="M155" s="119"/>
      <c r="N155" s="119"/>
      <c r="O155" s="112"/>
    </row>
    <row r="156" spans="2:15" ht="25" customHeight="1" x14ac:dyDescent="0.3">
      <c r="B156" s="111"/>
      <c r="C156" s="111"/>
      <c r="D156" s="116"/>
      <c r="E156" s="116"/>
      <c r="F156" s="111"/>
      <c r="G156" s="111"/>
      <c r="H156" s="112"/>
      <c r="I156" s="117"/>
      <c r="J156" s="117"/>
      <c r="K156" s="117"/>
      <c r="L156" s="117"/>
      <c r="M156" s="119"/>
      <c r="N156" s="119"/>
      <c r="O156" s="112"/>
    </row>
    <row r="157" spans="2:15" ht="25" customHeight="1" x14ac:dyDescent="0.3">
      <c r="B157" s="111"/>
      <c r="C157" s="111"/>
      <c r="D157" s="116"/>
      <c r="E157" s="116"/>
      <c r="F157" s="111"/>
      <c r="G157" s="111"/>
      <c r="H157" s="112"/>
      <c r="I157" s="117"/>
      <c r="J157" s="117"/>
      <c r="K157" s="117"/>
      <c r="L157" s="117"/>
      <c r="M157" s="119"/>
      <c r="N157" s="119"/>
      <c r="O157" s="112"/>
    </row>
    <row r="158" spans="2:15" ht="25" customHeight="1" x14ac:dyDescent="0.3">
      <c r="B158" s="111"/>
      <c r="C158" s="111"/>
      <c r="D158" s="116"/>
      <c r="E158" s="116"/>
      <c r="F158" s="111"/>
      <c r="G158" s="111"/>
      <c r="H158" s="112"/>
      <c r="I158" s="117"/>
      <c r="J158" s="117"/>
      <c r="K158" s="117"/>
      <c r="L158" s="117"/>
      <c r="M158" s="119"/>
      <c r="N158" s="119"/>
      <c r="O158" s="112"/>
    </row>
    <row r="159" spans="2:15" ht="25" customHeight="1" x14ac:dyDescent="0.3">
      <c r="B159" s="111"/>
      <c r="C159" s="111"/>
      <c r="D159" s="116"/>
      <c r="E159" s="116"/>
      <c r="F159" s="111"/>
      <c r="G159" s="111"/>
      <c r="H159" s="112"/>
      <c r="I159" s="117"/>
      <c r="J159" s="117"/>
      <c r="K159" s="117"/>
      <c r="L159" s="117"/>
      <c r="M159" s="119"/>
      <c r="N159" s="119"/>
      <c r="O159" s="112"/>
    </row>
    <row r="160" spans="2:15" ht="25" customHeight="1" x14ac:dyDescent="0.3">
      <c r="B160" s="111"/>
      <c r="C160" s="111"/>
      <c r="D160" s="116"/>
      <c r="E160" s="116"/>
      <c r="F160" s="111"/>
      <c r="G160" s="111"/>
      <c r="H160" s="112"/>
      <c r="I160" s="117"/>
      <c r="J160" s="117"/>
      <c r="K160" s="117"/>
      <c r="L160" s="117"/>
      <c r="M160" s="119"/>
      <c r="N160" s="119"/>
      <c r="O160" s="112"/>
    </row>
    <row r="161" spans="2:15" ht="25" customHeight="1" x14ac:dyDescent="0.3">
      <c r="B161" s="111"/>
      <c r="C161" s="111"/>
      <c r="D161" s="116"/>
      <c r="E161" s="116"/>
      <c r="F161" s="111"/>
      <c r="G161" s="111"/>
      <c r="H161" s="112"/>
      <c r="I161" s="117"/>
      <c r="J161" s="117"/>
      <c r="K161" s="117"/>
      <c r="L161" s="117"/>
      <c r="M161" s="119"/>
      <c r="N161" s="119"/>
      <c r="O161" s="112"/>
    </row>
    <row r="162" spans="2:15" ht="25" customHeight="1" x14ac:dyDescent="0.3">
      <c r="B162" s="111"/>
      <c r="C162" s="111"/>
      <c r="D162" s="116"/>
      <c r="E162" s="116"/>
      <c r="F162" s="111"/>
      <c r="G162" s="111"/>
      <c r="H162" s="112"/>
      <c r="I162" s="117"/>
      <c r="J162" s="117"/>
      <c r="K162" s="117"/>
      <c r="L162" s="117"/>
      <c r="M162" s="119"/>
      <c r="N162" s="119"/>
      <c r="O162" s="112"/>
    </row>
    <row r="163" spans="2:15" ht="25" customHeight="1" x14ac:dyDescent="0.3">
      <c r="B163" s="111"/>
      <c r="C163" s="111"/>
      <c r="D163" s="116"/>
      <c r="E163" s="116"/>
      <c r="F163" s="111"/>
      <c r="G163" s="111"/>
      <c r="H163" s="112"/>
      <c r="I163" s="117"/>
      <c r="J163" s="117"/>
      <c r="K163" s="117"/>
      <c r="L163" s="117"/>
      <c r="M163" s="119"/>
      <c r="N163" s="119"/>
      <c r="O163" s="112"/>
    </row>
    <row r="164" spans="2:15" ht="25" customHeight="1" x14ac:dyDescent="0.3">
      <c r="B164" s="111"/>
      <c r="C164" s="111"/>
      <c r="D164" s="116"/>
      <c r="E164" s="116"/>
      <c r="F164" s="111"/>
      <c r="G164" s="111"/>
      <c r="H164" s="112"/>
      <c r="I164" s="117"/>
      <c r="J164" s="117"/>
      <c r="K164" s="117"/>
      <c r="L164" s="117"/>
      <c r="M164" s="119"/>
      <c r="N164" s="119"/>
      <c r="O164" s="112"/>
    </row>
    <row r="165" spans="2:15" ht="25" customHeight="1" x14ac:dyDescent="0.3">
      <c r="B165" s="111"/>
      <c r="C165" s="111"/>
      <c r="D165" s="116"/>
      <c r="E165" s="116"/>
      <c r="F165" s="111"/>
      <c r="G165" s="111"/>
      <c r="H165" s="112"/>
      <c r="I165" s="117"/>
      <c r="J165" s="117"/>
      <c r="K165" s="117"/>
      <c r="L165" s="117"/>
      <c r="M165" s="119"/>
      <c r="N165" s="119"/>
      <c r="O165" s="112"/>
    </row>
    <row r="166" spans="2:15" ht="25" customHeight="1" x14ac:dyDescent="0.3">
      <c r="B166" s="111"/>
      <c r="C166" s="111"/>
      <c r="D166" s="116"/>
      <c r="E166" s="116"/>
      <c r="F166" s="111"/>
      <c r="G166" s="111"/>
      <c r="H166" s="112"/>
      <c r="I166" s="117"/>
      <c r="J166" s="117"/>
      <c r="K166" s="117"/>
      <c r="L166" s="117"/>
      <c r="M166" s="119"/>
      <c r="N166" s="119"/>
      <c r="O166" s="112"/>
    </row>
    <row r="167" spans="2:15" ht="25" customHeight="1" x14ac:dyDescent="0.3">
      <c r="B167" s="111"/>
      <c r="C167" s="111"/>
      <c r="D167" s="116"/>
      <c r="E167" s="116"/>
      <c r="F167" s="111"/>
      <c r="G167" s="111"/>
      <c r="H167" s="112"/>
      <c r="I167" s="117"/>
      <c r="J167" s="117"/>
      <c r="K167" s="117"/>
      <c r="L167" s="117"/>
      <c r="M167" s="119"/>
      <c r="N167" s="119"/>
      <c r="O167" s="112"/>
    </row>
    <row r="168" spans="2:15" ht="25" customHeight="1" x14ac:dyDescent="0.3">
      <c r="B168" s="111"/>
      <c r="C168" s="111"/>
      <c r="D168" s="116"/>
      <c r="E168" s="116"/>
      <c r="F168" s="111"/>
      <c r="G168" s="111"/>
      <c r="H168" s="112"/>
      <c r="I168" s="117"/>
      <c r="J168" s="117"/>
      <c r="K168" s="117"/>
      <c r="L168" s="117"/>
      <c r="M168" s="119"/>
      <c r="N168" s="119"/>
      <c r="O168" s="112"/>
    </row>
    <row r="169" spans="2:15" ht="25" customHeight="1" x14ac:dyDescent="0.3">
      <c r="B169" s="111"/>
      <c r="C169" s="111"/>
      <c r="D169" s="116"/>
      <c r="E169" s="116"/>
      <c r="F169" s="111"/>
      <c r="G169" s="111"/>
      <c r="H169" s="112"/>
      <c r="I169" s="117"/>
      <c r="J169" s="117"/>
      <c r="K169" s="117"/>
      <c r="L169" s="117"/>
      <c r="M169" s="119"/>
      <c r="N169" s="119"/>
      <c r="O169" s="112"/>
    </row>
    <row r="170" spans="2:15" ht="25" customHeight="1" x14ac:dyDescent="0.3">
      <c r="B170" s="111"/>
      <c r="C170" s="111"/>
      <c r="D170" s="116"/>
      <c r="E170" s="116"/>
      <c r="F170" s="111"/>
      <c r="G170" s="111"/>
      <c r="H170" s="112"/>
      <c r="I170" s="117"/>
      <c r="J170" s="117"/>
      <c r="K170" s="117"/>
      <c r="L170" s="117"/>
      <c r="M170" s="119"/>
      <c r="N170" s="119"/>
      <c r="O170" s="112"/>
    </row>
    <row r="171" spans="2:15" ht="25" customHeight="1" x14ac:dyDescent="0.3">
      <c r="B171" s="111"/>
      <c r="C171" s="111"/>
      <c r="D171" s="116"/>
      <c r="E171" s="116"/>
      <c r="F171" s="111"/>
      <c r="G171" s="111"/>
      <c r="H171" s="112"/>
      <c r="I171" s="117"/>
      <c r="J171" s="117"/>
      <c r="K171" s="117"/>
      <c r="L171" s="117"/>
      <c r="M171" s="119"/>
      <c r="N171" s="119"/>
      <c r="O171" s="112"/>
    </row>
    <row r="172" spans="2:15" ht="25" customHeight="1" x14ac:dyDescent="0.3">
      <c r="B172" s="111"/>
      <c r="C172" s="111"/>
      <c r="D172" s="116"/>
      <c r="E172" s="116"/>
      <c r="F172" s="111"/>
      <c r="G172" s="111"/>
      <c r="H172" s="112"/>
      <c r="I172" s="117"/>
      <c r="J172" s="117"/>
      <c r="K172" s="117"/>
      <c r="L172" s="117"/>
      <c r="M172" s="119"/>
      <c r="N172" s="119"/>
      <c r="O172" s="112"/>
    </row>
    <row r="173" spans="2:15" ht="25" customHeight="1" x14ac:dyDescent="0.3">
      <c r="B173" s="111"/>
      <c r="C173" s="111"/>
      <c r="D173" s="116"/>
      <c r="E173" s="116"/>
      <c r="F173" s="111"/>
      <c r="G173" s="111"/>
      <c r="H173" s="112"/>
      <c r="I173" s="117"/>
      <c r="J173" s="117"/>
      <c r="K173" s="117"/>
      <c r="L173" s="117"/>
      <c r="M173" s="119"/>
      <c r="N173" s="119"/>
      <c r="O173" s="112"/>
    </row>
    <row r="174" spans="2:15" ht="25" customHeight="1" x14ac:dyDescent="0.3">
      <c r="B174" s="111"/>
      <c r="C174" s="111"/>
      <c r="D174" s="116"/>
      <c r="E174" s="116"/>
      <c r="F174" s="111"/>
      <c r="G174" s="111"/>
      <c r="H174" s="112"/>
      <c r="I174" s="117"/>
      <c r="J174" s="117"/>
      <c r="K174" s="117"/>
      <c r="L174" s="117"/>
      <c r="M174" s="119"/>
      <c r="N174" s="119"/>
      <c r="O174" s="112"/>
    </row>
    <row r="175" spans="2:15" ht="25" customHeight="1" x14ac:dyDescent="0.3">
      <c r="B175" s="111"/>
      <c r="C175" s="111"/>
      <c r="D175" s="116"/>
      <c r="E175" s="116"/>
      <c r="F175" s="111"/>
      <c r="G175" s="111"/>
      <c r="H175" s="112"/>
      <c r="I175" s="117"/>
      <c r="J175" s="117"/>
      <c r="K175" s="117"/>
      <c r="L175" s="117"/>
      <c r="M175" s="119"/>
      <c r="N175" s="119"/>
      <c r="O175" s="112"/>
    </row>
    <row r="176" spans="2:15" ht="25" customHeight="1" x14ac:dyDescent="0.3">
      <c r="B176" s="111"/>
      <c r="C176" s="111"/>
      <c r="D176" s="116"/>
      <c r="E176" s="116"/>
      <c r="F176" s="111"/>
      <c r="G176" s="111"/>
      <c r="H176" s="112"/>
      <c r="I176" s="117"/>
      <c r="J176" s="117"/>
      <c r="K176" s="117"/>
      <c r="L176" s="117"/>
      <c r="M176" s="119"/>
      <c r="N176" s="119"/>
      <c r="O176" s="112"/>
    </row>
    <row r="177" spans="2:15" ht="25" customHeight="1" x14ac:dyDescent="0.3">
      <c r="B177" s="111"/>
      <c r="C177" s="111"/>
      <c r="D177" s="116"/>
      <c r="E177" s="116"/>
      <c r="F177" s="111"/>
      <c r="G177" s="111"/>
      <c r="H177" s="112"/>
      <c r="I177" s="117"/>
      <c r="J177" s="117"/>
      <c r="K177" s="117"/>
      <c r="L177" s="117"/>
      <c r="M177" s="119"/>
      <c r="N177" s="119"/>
      <c r="O177" s="112"/>
    </row>
    <row r="178" spans="2:15" ht="25" customHeight="1" x14ac:dyDescent="0.3">
      <c r="B178" s="111"/>
      <c r="C178" s="111"/>
      <c r="D178" s="116"/>
      <c r="E178" s="116"/>
      <c r="F178" s="111"/>
      <c r="G178" s="111"/>
      <c r="H178" s="112"/>
      <c r="I178" s="117"/>
      <c r="J178" s="117"/>
      <c r="K178" s="117"/>
      <c r="L178" s="117"/>
      <c r="M178" s="119"/>
      <c r="N178" s="119"/>
      <c r="O178" s="112"/>
    </row>
    <row r="179" spans="2:15" ht="25" customHeight="1" x14ac:dyDescent="0.3">
      <c r="B179" s="111"/>
      <c r="C179" s="111"/>
      <c r="D179" s="116"/>
      <c r="E179" s="116"/>
      <c r="F179" s="111"/>
      <c r="G179" s="111"/>
      <c r="H179" s="112"/>
      <c r="I179" s="117"/>
      <c r="J179" s="117"/>
      <c r="K179" s="117"/>
      <c r="L179" s="117"/>
      <c r="M179" s="119"/>
      <c r="N179" s="119"/>
      <c r="O179" s="112"/>
    </row>
    <row r="180" spans="2:15" ht="25" customHeight="1" x14ac:dyDescent="0.3">
      <c r="B180" s="111"/>
      <c r="C180" s="111"/>
      <c r="D180" s="116"/>
      <c r="E180" s="116"/>
      <c r="F180" s="111"/>
      <c r="G180" s="111"/>
      <c r="H180" s="112"/>
      <c r="I180" s="117"/>
      <c r="J180" s="117"/>
      <c r="K180" s="117"/>
      <c r="L180" s="117"/>
      <c r="M180" s="119"/>
      <c r="N180" s="119"/>
      <c r="O180" s="112"/>
    </row>
    <row r="181" spans="2:15" ht="25" customHeight="1" x14ac:dyDescent="0.3">
      <c r="B181" s="111"/>
      <c r="C181" s="111"/>
      <c r="D181" s="116"/>
      <c r="E181" s="116"/>
      <c r="F181" s="111"/>
      <c r="G181" s="111"/>
      <c r="H181" s="112"/>
      <c r="I181" s="117"/>
      <c r="J181" s="117"/>
      <c r="K181" s="117"/>
      <c r="L181" s="117"/>
      <c r="M181" s="119"/>
      <c r="N181" s="119"/>
      <c r="O181" s="112"/>
    </row>
    <row r="182" spans="2:15" ht="25" customHeight="1" x14ac:dyDescent="0.3">
      <c r="B182" s="111"/>
      <c r="C182" s="111"/>
      <c r="D182" s="116"/>
      <c r="E182" s="116"/>
      <c r="F182" s="111"/>
      <c r="G182" s="111"/>
      <c r="H182" s="112"/>
      <c r="I182" s="117"/>
      <c r="J182" s="117"/>
      <c r="K182" s="117"/>
      <c r="L182" s="117"/>
      <c r="M182" s="119"/>
      <c r="N182" s="119"/>
      <c r="O182" s="112"/>
    </row>
    <row r="183" spans="2:15" ht="25" customHeight="1" x14ac:dyDescent="0.3">
      <c r="B183" s="111"/>
      <c r="C183" s="111"/>
      <c r="D183" s="116"/>
      <c r="E183" s="116"/>
      <c r="F183" s="111"/>
      <c r="G183" s="111"/>
      <c r="H183" s="112"/>
      <c r="I183" s="117"/>
      <c r="J183" s="117"/>
      <c r="K183" s="117"/>
      <c r="L183" s="117"/>
      <c r="M183" s="119"/>
      <c r="N183" s="119"/>
      <c r="O183" s="112"/>
    </row>
    <row r="184" spans="2:15" ht="25" customHeight="1" x14ac:dyDescent="0.3">
      <c r="B184" s="111"/>
      <c r="C184" s="111"/>
      <c r="D184" s="116"/>
      <c r="E184" s="116"/>
      <c r="F184" s="111"/>
      <c r="G184" s="111"/>
      <c r="H184" s="112"/>
      <c r="I184" s="117"/>
      <c r="J184" s="117"/>
      <c r="K184" s="117"/>
      <c r="L184" s="117"/>
      <c r="M184" s="119"/>
      <c r="N184" s="119"/>
      <c r="O184" s="112"/>
    </row>
    <row r="185" spans="2:15" ht="25" customHeight="1" x14ac:dyDescent="0.3">
      <c r="B185" s="111"/>
      <c r="C185" s="111"/>
      <c r="D185" s="116"/>
      <c r="E185" s="116"/>
      <c r="F185" s="111"/>
      <c r="G185" s="111"/>
      <c r="H185" s="112"/>
      <c r="I185" s="117"/>
      <c r="J185" s="117"/>
      <c r="K185" s="117"/>
      <c r="L185" s="117"/>
      <c r="M185" s="119"/>
      <c r="N185" s="119"/>
      <c r="O185" s="112"/>
    </row>
    <row r="186" spans="2:15" ht="25" customHeight="1" x14ac:dyDescent="0.3">
      <c r="B186" s="111"/>
      <c r="C186" s="111"/>
      <c r="D186" s="116"/>
      <c r="E186" s="116"/>
      <c r="F186" s="111"/>
      <c r="G186" s="111"/>
      <c r="H186" s="112"/>
      <c r="I186" s="117"/>
      <c r="J186" s="117"/>
      <c r="K186" s="117"/>
      <c r="L186" s="117"/>
      <c r="M186" s="119"/>
      <c r="N186" s="119"/>
      <c r="O186" s="112"/>
    </row>
    <row r="187" spans="2:15" ht="25" customHeight="1" x14ac:dyDescent="0.3">
      <c r="B187" s="111"/>
      <c r="C187" s="111"/>
      <c r="D187" s="116"/>
      <c r="E187" s="116"/>
      <c r="F187" s="111"/>
      <c r="G187" s="111"/>
      <c r="H187" s="112"/>
      <c r="I187" s="117"/>
      <c r="J187" s="117"/>
      <c r="K187" s="117"/>
      <c r="L187" s="117"/>
      <c r="M187" s="119"/>
      <c r="N187" s="119"/>
      <c r="O187" s="112"/>
    </row>
    <row r="188" spans="2:15" ht="25" customHeight="1" x14ac:dyDescent="0.3">
      <c r="B188" s="111"/>
      <c r="C188" s="111"/>
      <c r="D188" s="116"/>
      <c r="E188" s="116"/>
      <c r="F188" s="111"/>
      <c r="G188" s="111"/>
      <c r="H188" s="112"/>
      <c r="I188" s="117"/>
      <c r="J188" s="117"/>
      <c r="K188" s="117"/>
      <c r="L188" s="117"/>
      <c r="M188" s="119"/>
      <c r="N188" s="119"/>
      <c r="O188" s="112"/>
    </row>
    <row r="189" spans="2:15" ht="25" customHeight="1" x14ac:dyDescent="0.3">
      <c r="B189" s="111"/>
      <c r="C189" s="111"/>
      <c r="D189" s="116"/>
      <c r="E189" s="116"/>
      <c r="F189" s="111"/>
      <c r="G189" s="111"/>
      <c r="H189" s="112"/>
      <c r="I189" s="117"/>
      <c r="J189" s="117"/>
      <c r="K189" s="117"/>
      <c r="L189" s="117"/>
      <c r="M189" s="119"/>
      <c r="N189" s="119"/>
      <c r="O189" s="112"/>
    </row>
    <row r="190" spans="2:15" ht="25" customHeight="1" x14ac:dyDescent="0.3">
      <c r="B190" s="111"/>
      <c r="C190" s="111"/>
      <c r="D190" s="116"/>
      <c r="E190" s="116"/>
      <c r="F190" s="111"/>
      <c r="G190" s="111"/>
      <c r="H190" s="112"/>
      <c r="I190" s="117"/>
      <c r="J190" s="117"/>
      <c r="K190" s="117"/>
      <c r="L190" s="117"/>
      <c r="M190" s="119"/>
      <c r="N190" s="119"/>
      <c r="O190" s="112"/>
    </row>
    <row r="191" spans="2:15" ht="25" customHeight="1" x14ac:dyDescent="0.3">
      <c r="B191" s="111"/>
      <c r="C191" s="111"/>
      <c r="D191" s="116"/>
      <c r="E191" s="116"/>
      <c r="F191" s="111"/>
      <c r="G191" s="111"/>
      <c r="H191" s="112"/>
      <c r="I191" s="117"/>
      <c r="J191" s="117"/>
      <c r="K191" s="117"/>
      <c r="L191" s="117"/>
      <c r="M191" s="119"/>
      <c r="N191" s="119"/>
      <c r="O191" s="112"/>
    </row>
    <row r="192" spans="2:15" ht="25" customHeight="1" x14ac:dyDescent="0.3">
      <c r="B192" s="111"/>
      <c r="C192" s="111"/>
      <c r="D192" s="116"/>
      <c r="E192" s="116"/>
      <c r="F192" s="111"/>
      <c r="G192" s="111"/>
      <c r="H192" s="112"/>
      <c r="I192" s="117"/>
      <c r="J192" s="117"/>
      <c r="K192" s="117"/>
      <c r="L192" s="117"/>
      <c r="M192" s="119"/>
      <c r="N192" s="119"/>
      <c r="O192" s="112"/>
    </row>
    <row r="193" spans="2:15" ht="25" customHeight="1" x14ac:dyDescent="0.3">
      <c r="B193" s="111"/>
      <c r="C193" s="111"/>
      <c r="D193" s="116"/>
      <c r="E193" s="116"/>
      <c r="F193" s="111"/>
      <c r="G193" s="111"/>
      <c r="H193" s="112"/>
      <c r="I193" s="117"/>
      <c r="J193" s="117"/>
      <c r="K193" s="117"/>
      <c r="L193" s="117"/>
      <c r="M193" s="119"/>
      <c r="N193" s="119"/>
      <c r="O193" s="112"/>
    </row>
    <row r="194" spans="2:15" ht="25" customHeight="1" x14ac:dyDescent="0.3">
      <c r="B194" s="111"/>
      <c r="C194" s="111"/>
      <c r="D194" s="116"/>
      <c r="E194" s="116"/>
      <c r="F194" s="111"/>
      <c r="G194" s="111"/>
      <c r="H194" s="112"/>
      <c r="I194" s="117"/>
      <c r="J194" s="117"/>
      <c r="K194" s="117"/>
      <c r="L194" s="117"/>
      <c r="M194" s="119"/>
      <c r="N194" s="119"/>
      <c r="O194" s="112"/>
    </row>
    <row r="195" spans="2:15" ht="25" customHeight="1" x14ac:dyDescent="0.3">
      <c r="B195" s="111"/>
      <c r="C195" s="111"/>
      <c r="D195" s="116"/>
      <c r="E195" s="116"/>
      <c r="F195" s="111"/>
      <c r="G195" s="111"/>
      <c r="H195" s="112"/>
      <c r="I195" s="117"/>
      <c r="J195" s="117"/>
      <c r="K195" s="117"/>
      <c r="L195" s="117"/>
      <c r="M195" s="119"/>
      <c r="N195" s="119"/>
      <c r="O195" s="112"/>
    </row>
    <row r="196" spans="2:15" ht="25" customHeight="1" x14ac:dyDescent="0.3">
      <c r="B196" s="111"/>
      <c r="C196" s="111"/>
      <c r="D196" s="116"/>
      <c r="E196" s="116"/>
      <c r="F196" s="111"/>
      <c r="G196" s="111"/>
      <c r="H196" s="112"/>
      <c r="I196" s="117"/>
      <c r="J196" s="117"/>
      <c r="K196" s="117"/>
      <c r="L196" s="117"/>
      <c r="M196" s="119"/>
      <c r="N196" s="119"/>
      <c r="O196" s="112"/>
    </row>
    <row r="197" spans="2:15" ht="25" customHeight="1" x14ac:dyDescent="0.3">
      <c r="B197" s="111"/>
      <c r="C197" s="111"/>
      <c r="D197" s="116"/>
      <c r="E197" s="116"/>
      <c r="F197" s="111"/>
      <c r="G197" s="111"/>
      <c r="H197" s="112"/>
      <c r="I197" s="117"/>
      <c r="J197" s="117"/>
      <c r="K197" s="117"/>
      <c r="L197" s="117"/>
      <c r="M197" s="119"/>
      <c r="N197" s="119"/>
      <c r="O197" s="112"/>
    </row>
    <row r="198" spans="2:15" ht="25" customHeight="1" x14ac:dyDescent="0.3">
      <c r="B198" s="111"/>
      <c r="C198" s="111"/>
      <c r="D198" s="116"/>
      <c r="E198" s="116"/>
      <c r="F198" s="111"/>
      <c r="G198" s="111"/>
      <c r="H198" s="112"/>
      <c r="I198" s="117"/>
      <c r="J198" s="117"/>
      <c r="K198" s="117"/>
      <c r="L198" s="117"/>
      <c r="M198" s="119"/>
      <c r="N198" s="119"/>
      <c r="O198" s="112"/>
    </row>
  </sheetData>
  <mergeCells count="4">
    <mergeCell ref="B2:E2"/>
    <mergeCell ref="I2:L2"/>
    <mergeCell ref="M2:N2"/>
    <mergeCell ref="F3:G3"/>
  </mergeCells>
  <conditionalFormatting sqref="P5:P12">
    <cfRule type="cellIs" dxfId="10" priority="5" operator="between">
      <formula>21</formula>
      <formula>40</formula>
    </cfRule>
  </conditionalFormatting>
  <conditionalFormatting sqref="P13:P29">
    <cfRule type="cellIs" dxfId="9" priority="4" operator="between">
      <formula>21</formula>
      <formula>40</formula>
    </cfRule>
  </conditionalFormatting>
  <conditionalFormatting sqref="P30:P43">
    <cfRule type="cellIs" dxfId="8" priority="3" operator="between">
      <formula>21</formula>
      <formula>40</formula>
    </cfRule>
  </conditionalFormatting>
  <conditionalFormatting sqref="M1:O1048576">
    <cfRule type="cellIs" dxfId="7" priority="1" operator="equal">
      <formula>2</formula>
    </cfRule>
    <cfRule type="cellIs" dxfId="6" priority="2" operator="equal">
      <formula>1</formula>
    </cfRule>
  </conditionalFormatting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01"/>
  <sheetViews>
    <sheetView topLeftCell="J1" zoomScale="114" workbookViewId="0">
      <selection activeCell="P3" sqref="P3:Q15"/>
    </sheetView>
  </sheetViews>
  <sheetFormatPr defaultColWidth="8.81640625" defaultRowHeight="14" x14ac:dyDescent="0.35"/>
  <cols>
    <col min="1" max="1" width="8.81640625" style="121"/>
    <col min="2" max="3" width="21.1796875" style="121" customWidth="1"/>
    <col min="4" max="10" width="18.6328125" style="121" customWidth="1"/>
    <col min="11" max="11" width="16.453125" style="121" customWidth="1"/>
    <col min="12" max="14" width="18.6328125" style="121" customWidth="1"/>
    <col min="15" max="15" width="20.453125" style="121" customWidth="1"/>
    <col min="16" max="16" width="18.6328125" style="121" customWidth="1"/>
    <col min="17" max="17" width="13.36328125" style="120" customWidth="1"/>
    <col min="18" max="21" width="8.81640625" style="120"/>
    <col min="22" max="22" width="15.1796875" style="120" bestFit="1" customWidth="1"/>
    <col min="23" max="16384" width="8.81640625" style="120"/>
  </cols>
  <sheetData>
    <row r="1" spans="1:22" x14ac:dyDescent="0.35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439">
        <v>250</v>
      </c>
    </row>
    <row r="2" spans="1:22" x14ac:dyDescent="0.35">
      <c r="P2" s="439">
        <v>800</v>
      </c>
      <c r="Q2" s="440">
        <v>0.04</v>
      </c>
    </row>
    <row r="3" spans="1:22" ht="29" customHeight="1" x14ac:dyDescent="0.35">
      <c r="A3" s="523" t="s">
        <v>111</v>
      </c>
      <c r="B3" s="523"/>
      <c r="C3" s="523"/>
      <c r="D3" s="523"/>
      <c r="E3" s="523"/>
      <c r="F3" s="524" t="s">
        <v>110</v>
      </c>
      <c r="G3" s="524"/>
      <c r="H3" s="524"/>
      <c r="I3" s="525" t="s">
        <v>109</v>
      </c>
      <c r="J3" s="525"/>
      <c r="K3" s="525"/>
      <c r="L3" s="525"/>
      <c r="M3" s="526" t="s">
        <v>108</v>
      </c>
      <c r="N3" s="526"/>
      <c r="O3" s="164"/>
      <c r="P3" s="419" t="s">
        <v>2690</v>
      </c>
      <c r="Q3" s="419" t="s">
        <v>1971</v>
      </c>
    </row>
    <row r="4" spans="1:22" s="132" customFormat="1" ht="28" x14ac:dyDescent="0.35">
      <c r="A4" s="149" t="s">
        <v>20</v>
      </c>
      <c r="B4" s="149" t="s">
        <v>185</v>
      </c>
      <c r="C4" s="149" t="s">
        <v>186</v>
      </c>
      <c r="D4" s="149" t="s">
        <v>187</v>
      </c>
      <c r="E4" s="149" t="s">
        <v>121</v>
      </c>
      <c r="F4" s="153" t="s">
        <v>11</v>
      </c>
      <c r="G4" s="153" t="s">
        <v>122</v>
      </c>
      <c r="H4" s="153" t="s">
        <v>211</v>
      </c>
      <c r="I4" s="165" t="s">
        <v>192</v>
      </c>
      <c r="J4" s="165" t="s">
        <v>193</v>
      </c>
      <c r="K4" s="165" t="s">
        <v>194</v>
      </c>
      <c r="L4" s="165" t="s">
        <v>195</v>
      </c>
      <c r="M4" s="152" t="s">
        <v>196</v>
      </c>
      <c r="N4" s="152" t="s">
        <v>197</v>
      </c>
      <c r="O4" s="152" t="s">
        <v>156</v>
      </c>
      <c r="P4" s="232"/>
      <c r="Q4" s="207"/>
    </row>
    <row r="5" spans="1:22" ht="25" customHeight="1" x14ac:dyDescent="0.35">
      <c r="A5" s="111">
        <v>1</v>
      </c>
      <c r="B5" s="111" t="s">
        <v>2097</v>
      </c>
      <c r="C5" s="111" t="s">
        <v>189</v>
      </c>
      <c r="D5" s="111" t="s">
        <v>2098</v>
      </c>
      <c r="E5" s="111" t="s">
        <v>2042</v>
      </c>
      <c r="F5" s="112">
        <v>2011</v>
      </c>
      <c r="G5" s="166">
        <v>43647</v>
      </c>
      <c r="H5" s="112" t="s">
        <v>2099</v>
      </c>
      <c r="I5" s="167">
        <v>5000</v>
      </c>
      <c r="J5" s="168" t="s">
        <v>2100</v>
      </c>
      <c r="K5" s="168">
        <v>720</v>
      </c>
      <c r="L5" s="168" t="s">
        <v>2101</v>
      </c>
      <c r="M5" s="154">
        <v>5</v>
      </c>
      <c r="N5" s="154">
        <v>5</v>
      </c>
      <c r="O5" s="154">
        <v>5</v>
      </c>
      <c r="P5" s="447">
        <f>I5*P$2</f>
        <v>4000000</v>
      </c>
      <c r="Q5" s="448">
        <f>Q$2*P5</f>
        <v>160000</v>
      </c>
    </row>
    <row r="6" spans="1:22" ht="25" customHeight="1" x14ac:dyDescent="0.35">
      <c r="A6" s="111">
        <v>2</v>
      </c>
      <c r="B6" s="111" t="s">
        <v>2102</v>
      </c>
      <c r="C6" s="111" t="s">
        <v>189</v>
      </c>
      <c r="D6" s="111" t="s">
        <v>2098</v>
      </c>
      <c r="E6" s="111" t="s">
        <v>2042</v>
      </c>
      <c r="F6" s="112">
        <v>2011</v>
      </c>
      <c r="G6" s="166">
        <v>43586</v>
      </c>
      <c r="H6" s="112" t="s">
        <v>2099</v>
      </c>
      <c r="I6" s="167">
        <v>5000</v>
      </c>
      <c r="J6" s="168" t="s">
        <v>2100</v>
      </c>
      <c r="K6" s="168">
        <v>720</v>
      </c>
      <c r="L6" s="168" t="s">
        <v>2101</v>
      </c>
      <c r="M6" s="154">
        <v>5</v>
      </c>
      <c r="N6" s="154">
        <v>5</v>
      </c>
      <c r="O6" s="154">
        <v>5</v>
      </c>
      <c r="P6" s="447">
        <f>I6*P$2</f>
        <v>4000000</v>
      </c>
      <c r="Q6" s="448">
        <f t="shared" ref="Q6:Q14" si="0">Q$2*P6</f>
        <v>160000</v>
      </c>
    </row>
    <row r="7" spans="1:22" ht="25" customHeight="1" x14ac:dyDescent="0.35">
      <c r="A7" s="111">
        <v>3</v>
      </c>
      <c r="B7" s="111" t="s">
        <v>2103</v>
      </c>
      <c r="C7" s="111" t="s">
        <v>189</v>
      </c>
      <c r="D7" s="111" t="s">
        <v>2098</v>
      </c>
      <c r="E7" s="111" t="s">
        <v>2042</v>
      </c>
      <c r="F7" s="112">
        <v>1997</v>
      </c>
      <c r="G7" s="112" t="s">
        <v>2104</v>
      </c>
      <c r="H7" s="112" t="s">
        <v>2099</v>
      </c>
      <c r="I7" s="167">
        <v>3400</v>
      </c>
      <c r="J7" s="168" t="s">
        <v>2105</v>
      </c>
      <c r="K7" s="168">
        <v>720</v>
      </c>
      <c r="L7" s="168" t="s">
        <v>2106</v>
      </c>
      <c r="M7" s="154">
        <v>3</v>
      </c>
      <c r="N7" s="154">
        <v>4</v>
      </c>
      <c r="O7" s="154">
        <v>3</v>
      </c>
      <c r="P7" s="447">
        <f>I7*P$2</f>
        <v>2720000</v>
      </c>
      <c r="Q7" s="448">
        <f t="shared" si="0"/>
        <v>108800</v>
      </c>
      <c r="U7" s="120">
        <v>1</v>
      </c>
      <c r="V7" s="120">
        <v>5000</v>
      </c>
    </row>
    <row r="8" spans="1:22" ht="25" customHeight="1" x14ac:dyDescent="0.35">
      <c r="A8" s="111">
        <v>4</v>
      </c>
      <c r="B8" s="111" t="s">
        <v>2107</v>
      </c>
      <c r="C8" s="111" t="s">
        <v>189</v>
      </c>
      <c r="D8" s="111" t="s">
        <v>2098</v>
      </c>
      <c r="E8" s="111" t="s">
        <v>2042</v>
      </c>
      <c r="F8" s="112">
        <v>2007</v>
      </c>
      <c r="G8" s="166" t="s">
        <v>92</v>
      </c>
      <c r="H8" s="112" t="s">
        <v>2108</v>
      </c>
      <c r="I8" s="167">
        <v>1800</v>
      </c>
      <c r="J8" s="168" t="s">
        <v>2109</v>
      </c>
      <c r="K8" s="168">
        <v>1800</v>
      </c>
      <c r="L8" s="168" t="s">
        <v>2110</v>
      </c>
      <c r="M8" s="154">
        <v>2</v>
      </c>
      <c r="N8" s="154">
        <v>3</v>
      </c>
      <c r="O8" s="154">
        <v>2</v>
      </c>
      <c r="P8" s="447">
        <f>P$1*I8</f>
        <v>450000</v>
      </c>
      <c r="Q8" s="448">
        <f t="shared" si="0"/>
        <v>18000</v>
      </c>
      <c r="U8" s="120">
        <v>1000</v>
      </c>
      <c r="V8" s="445">
        <f>U8*V7</f>
        <v>5000000</v>
      </c>
    </row>
    <row r="9" spans="1:22" ht="25" customHeight="1" x14ac:dyDescent="0.35">
      <c r="A9" s="111">
        <v>5</v>
      </c>
      <c r="B9" s="111" t="s">
        <v>2111</v>
      </c>
      <c r="C9" s="111" t="s">
        <v>189</v>
      </c>
      <c r="D9" s="111" t="s">
        <v>2098</v>
      </c>
      <c r="E9" s="111" t="s">
        <v>2042</v>
      </c>
      <c r="F9" s="112">
        <v>2013</v>
      </c>
      <c r="G9" s="166" t="s">
        <v>92</v>
      </c>
      <c r="H9" s="112" t="s">
        <v>2108</v>
      </c>
      <c r="I9" s="167">
        <v>450</v>
      </c>
      <c r="J9" s="168" t="s">
        <v>2109</v>
      </c>
      <c r="K9" s="168">
        <v>1800</v>
      </c>
      <c r="L9" s="168" t="s">
        <v>2106</v>
      </c>
      <c r="M9" s="154">
        <v>5</v>
      </c>
      <c r="N9" s="154">
        <v>5</v>
      </c>
      <c r="O9" s="154">
        <v>5</v>
      </c>
      <c r="P9" s="447">
        <f t="shared" ref="P9:P12" si="1">P$1*I9</f>
        <v>112500</v>
      </c>
      <c r="Q9" s="448">
        <f t="shared" si="0"/>
        <v>4500</v>
      </c>
    </row>
    <row r="10" spans="1:22" ht="25" customHeight="1" x14ac:dyDescent="0.35">
      <c r="A10" s="111">
        <v>6</v>
      </c>
      <c r="B10" s="111" t="s">
        <v>2112</v>
      </c>
      <c r="C10" s="111" t="s">
        <v>189</v>
      </c>
      <c r="D10" s="111" t="s">
        <v>2098</v>
      </c>
      <c r="E10" s="111" t="s">
        <v>2042</v>
      </c>
      <c r="F10" s="112">
        <v>2013</v>
      </c>
      <c r="G10" s="166" t="s">
        <v>92</v>
      </c>
      <c r="H10" s="112" t="s">
        <v>2108</v>
      </c>
      <c r="I10" s="167">
        <v>450</v>
      </c>
      <c r="J10" s="168" t="s">
        <v>2109</v>
      </c>
      <c r="K10" s="168">
        <v>1800</v>
      </c>
      <c r="L10" s="168" t="s">
        <v>2106</v>
      </c>
      <c r="M10" s="154">
        <v>5</v>
      </c>
      <c r="N10" s="154">
        <v>5</v>
      </c>
      <c r="O10" s="154">
        <v>5</v>
      </c>
      <c r="P10" s="447">
        <f t="shared" si="1"/>
        <v>112500</v>
      </c>
      <c r="Q10" s="448">
        <f t="shared" si="0"/>
        <v>4500</v>
      </c>
    </row>
    <row r="11" spans="1:22" ht="25" customHeight="1" x14ac:dyDescent="0.35">
      <c r="A11" s="111">
        <v>7</v>
      </c>
      <c r="B11" s="111" t="s">
        <v>2113</v>
      </c>
      <c r="C11" s="111" t="s">
        <v>189</v>
      </c>
      <c r="D11" s="111" t="s">
        <v>2098</v>
      </c>
      <c r="E11" s="111" t="s">
        <v>2042</v>
      </c>
      <c r="F11" s="112">
        <v>2013</v>
      </c>
      <c r="G11" s="166" t="s">
        <v>92</v>
      </c>
      <c r="H11" s="112" t="s">
        <v>2108</v>
      </c>
      <c r="I11" s="167">
        <v>450</v>
      </c>
      <c r="J11" s="168" t="s">
        <v>2109</v>
      </c>
      <c r="K11" s="168">
        <v>1800</v>
      </c>
      <c r="L11" s="168" t="s">
        <v>2106</v>
      </c>
      <c r="M11" s="154">
        <v>5</v>
      </c>
      <c r="N11" s="154">
        <v>5</v>
      </c>
      <c r="O11" s="154">
        <v>5</v>
      </c>
      <c r="P11" s="447">
        <f t="shared" si="1"/>
        <v>112500</v>
      </c>
      <c r="Q11" s="448">
        <f t="shared" si="0"/>
        <v>4500</v>
      </c>
    </row>
    <row r="12" spans="1:22" ht="25" customHeight="1" x14ac:dyDescent="0.35">
      <c r="A12" s="111">
        <v>8</v>
      </c>
      <c r="B12" s="111" t="s">
        <v>2114</v>
      </c>
      <c r="C12" s="111" t="s">
        <v>189</v>
      </c>
      <c r="D12" s="111" t="s">
        <v>2098</v>
      </c>
      <c r="E12" s="111" t="s">
        <v>2042</v>
      </c>
      <c r="F12" s="112">
        <v>2013</v>
      </c>
      <c r="G12" s="166" t="s">
        <v>92</v>
      </c>
      <c r="H12" s="112" t="s">
        <v>2108</v>
      </c>
      <c r="I12" s="167">
        <v>450</v>
      </c>
      <c r="J12" s="168" t="s">
        <v>2109</v>
      </c>
      <c r="K12" s="168">
        <v>1800</v>
      </c>
      <c r="L12" s="168" t="s">
        <v>2106</v>
      </c>
      <c r="M12" s="154">
        <v>5</v>
      </c>
      <c r="N12" s="154">
        <v>5</v>
      </c>
      <c r="O12" s="154">
        <v>5</v>
      </c>
      <c r="P12" s="447">
        <f t="shared" si="1"/>
        <v>112500</v>
      </c>
      <c r="Q12" s="448">
        <f t="shared" si="0"/>
        <v>4500</v>
      </c>
    </row>
    <row r="13" spans="1:22" ht="25" customHeight="1" x14ac:dyDescent="0.35">
      <c r="A13" s="111">
        <v>9</v>
      </c>
      <c r="B13" s="111" t="s">
        <v>2115</v>
      </c>
      <c r="C13" s="111" t="s">
        <v>189</v>
      </c>
      <c r="D13" s="111" t="s">
        <v>2116</v>
      </c>
      <c r="E13" s="111" t="s">
        <v>1694</v>
      </c>
      <c r="F13" s="112">
        <v>2014</v>
      </c>
      <c r="G13" s="166">
        <v>43800</v>
      </c>
      <c r="H13" s="112" t="s">
        <v>2099</v>
      </c>
      <c r="I13" s="167">
        <v>5000</v>
      </c>
      <c r="J13" s="167">
        <v>13800</v>
      </c>
      <c r="K13" s="168">
        <v>720</v>
      </c>
      <c r="L13" s="168" t="s">
        <v>2106</v>
      </c>
      <c r="M13" s="154">
        <v>5</v>
      </c>
      <c r="N13" s="154">
        <v>5</v>
      </c>
      <c r="O13" s="154">
        <v>5</v>
      </c>
      <c r="P13" s="447">
        <f t="shared" ref="P13:P14" si="2">I13*P$2</f>
        <v>4000000</v>
      </c>
      <c r="Q13" s="448">
        <f t="shared" si="0"/>
        <v>160000</v>
      </c>
    </row>
    <row r="14" spans="1:22" ht="25" customHeight="1" x14ac:dyDescent="0.35">
      <c r="A14" s="111">
        <v>10</v>
      </c>
      <c r="B14" s="111" t="s">
        <v>2117</v>
      </c>
      <c r="C14" s="111" t="s">
        <v>189</v>
      </c>
      <c r="D14" s="111" t="s">
        <v>2116</v>
      </c>
      <c r="E14" s="111" t="s">
        <v>1694</v>
      </c>
      <c r="F14" s="112">
        <v>2014</v>
      </c>
      <c r="G14" s="166">
        <v>43466</v>
      </c>
      <c r="H14" s="112" t="s">
        <v>2099</v>
      </c>
      <c r="I14" s="167">
        <v>5000</v>
      </c>
      <c r="J14" s="167">
        <v>13800</v>
      </c>
      <c r="K14" s="168">
        <v>720</v>
      </c>
      <c r="L14" s="168" t="s">
        <v>2106</v>
      </c>
      <c r="M14" s="154">
        <v>5</v>
      </c>
      <c r="N14" s="154">
        <v>5</v>
      </c>
      <c r="O14" s="154">
        <v>5</v>
      </c>
      <c r="P14" s="447">
        <f t="shared" si="2"/>
        <v>4000000</v>
      </c>
      <c r="Q14" s="448">
        <f t="shared" si="0"/>
        <v>160000</v>
      </c>
    </row>
    <row r="15" spans="1:22" ht="25" customHeight="1" x14ac:dyDescent="0.35">
      <c r="A15" s="111"/>
      <c r="B15" s="111"/>
      <c r="C15" s="111"/>
      <c r="D15" s="111"/>
      <c r="E15" s="111"/>
      <c r="F15" s="112"/>
      <c r="G15" s="112"/>
      <c r="H15" s="112"/>
      <c r="I15" s="117"/>
      <c r="J15" s="117"/>
      <c r="K15" s="117"/>
      <c r="L15" s="117"/>
      <c r="M15" s="119"/>
      <c r="N15" s="119"/>
      <c r="O15" s="119"/>
      <c r="P15" s="448">
        <f>SUM(P5:P14)</f>
        <v>19620000</v>
      </c>
      <c r="Q15" s="448">
        <f>SUM(Q5:Q14)</f>
        <v>784800</v>
      </c>
    </row>
    <row r="16" spans="1:22" ht="25" customHeight="1" x14ac:dyDescent="0.35">
      <c r="A16" s="111"/>
      <c r="B16" s="111"/>
      <c r="C16" s="111"/>
      <c r="D16" s="111"/>
      <c r="E16" s="111"/>
      <c r="F16" s="112"/>
      <c r="G16" s="112"/>
      <c r="H16" s="112"/>
      <c r="I16" s="117"/>
      <c r="J16" s="117"/>
      <c r="K16" s="117"/>
      <c r="L16" s="117"/>
      <c r="M16" s="119"/>
      <c r="N16" s="119"/>
      <c r="O16" s="119"/>
    </row>
    <row r="17" spans="1:15" ht="25" customHeight="1" x14ac:dyDescent="0.35">
      <c r="A17" s="111"/>
      <c r="B17" s="111"/>
      <c r="C17" s="111"/>
      <c r="D17" s="111"/>
      <c r="E17" s="111"/>
      <c r="F17" s="112"/>
      <c r="G17" s="112"/>
      <c r="H17" s="112"/>
      <c r="I17" s="117"/>
      <c r="J17" s="117"/>
      <c r="K17" s="117"/>
      <c r="L17" s="117"/>
      <c r="M17" s="119"/>
      <c r="N17" s="119"/>
      <c r="O17" s="119"/>
    </row>
    <row r="18" spans="1:15" ht="25" customHeight="1" x14ac:dyDescent="0.35">
      <c r="A18" s="111"/>
      <c r="B18" s="111"/>
      <c r="C18" s="111"/>
      <c r="D18" s="111"/>
      <c r="E18" s="111"/>
      <c r="F18" s="112"/>
      <c r="G18" s="112"/>
      <c r="H18" s="112"/>
      <c r="I18" s="117"/>
      <c r="J18" s="117"/>
      <c r="K18" s="117"/>
      <c r="L18" s="117"/>
      <c r="M18" s="119"/>
      <c r="N18" s="119"/>
      <c r="O18" s="119"/>
    </row>
    <row r="19" spans="1:15" ht="25" customHeight="1" x14ac:dyDescent="0.35">
      <c r="A19" s="111"/>
      <c r="B19" s="111"/>
      <c r="C19" s="111"/>
      <c r="D19" s="111"/>
      <c r="E19" s="111"/>
      <c r="F19" s="112"/>
      <c r="G19" s="112"/>
      <c r="H19" s="112"/>
      <c r="I19" s="117"/>
      <c r="J19" s="117"/>
      <c r="K19" s="117"/>
      <c r="L19" s="117"/>
      <c r="M19" s="119"/>
      <c r="N19" s="119"/>
      <c r="O19" s="119"/>
    </row>
    <row r="20" spans="1:15" ht="25" customHeight="1" x14ac:dyDescent="0.35">
      <c r="A20" s="111"/>
      <c r="B20" s="111"/>
      <c r="C20" s="111"/>
      <c r="D20" s="111"/>
      <c r="E20" s="111"/>
      <c r="F20" s="112"/>
      <c r="G20" s="112"/>
      <c r="H20" s="112"/>
      <c r="I20" s="117"/>
      <c r="J20" s="117"/>
      <c r="K20" s="117"/>
      <c r="L20" s="117"/>
      <c r="M20" s="119"/>
      <c r="N20" s="119"/>
      <c r="O20" s="119"/>
    </row>
    <row r="21" spans="1:15" ht="25" customHeight="1" x14ac:dyDescent="0.35">
      <c r="A21" s="111"/>
      <c r="B21" s="111"/>
      <c r="C21" s="111"/>
      <c r="D21" s="111"/>
      <c r="E21" s="111"/>
      <c r="F21" s="112"/>
      <c r="G21" s="112"/>
      <c r="H21" s="112"/>
      <c r="I21" s="117"/>
      <c r="J21" s="117"/>
      <c r="K21" s="117"/>
      <c r="L21" s="117"/>
      <c r="M21" s="119"/>
      <c r="N21" s="119"/>
      <c r="O21" s="119"/>
    </row>
    <row r="22" spans="1:15" ht="25" customHeight="1" x14ac:dyDescent="0.35">
      <c r="A22" s="111"/>
      <c r="B22" s="111"/>
      <c r="C22" s="111"/>
      <c r="D22" s="111"/>
      <c r="E22" s="111"/>
      <c r="F22" s="112"/>
      <c r="G22" s="112"/>
      <c r="H22" s="112"/>
      <c r="I22" s="117"/>
      <c r="J22" s="117"/>
      <c r="K22" s="117"/>
      <c r="L22" s="117"/>
      <c r="M22" s="119"/>
      <c r="N22" s="119"/>
      <c r="O22" s="119"/>
    </row>
    <row r="23" spans="1:15" ht="25" customHeight="1" x14ac:dyDescent="0.35">
      <c r="A23" s="111"/>
      <c r="B23" s="111"/>
      <c r="C23" s="111"/>
      <c r="D23" s="111"/>
      <c r="E23" s="111"/>
      <c r="F23" s="112"/>
      <c r="G23" s="112"/>
      <c r="H23" s="112"/>
      <c r="I23" s="117"/>
      <c r="J23" s="117"/>
      <c r="K23" s="117"/>
      <c r="L23" s="117"/>
      <c r="M23" s="119"/>
      <c r="N23" s="119"/>
      <c r="O23" s="119"/>
    </row>
    <row r="24" spans="1:15" ht="25" customHeight="1" x14ac:dyDescent="0.35">
      <c r="A24" s="111"/>
      <c r="B24" s="111"/>
      <c r="C24" s="111"/>
      <c r="D24" s="111"/>
      <c r="E24" s="111"/>
      <c r="F24" s="112"/>
      <c r="G24" s="112"/>
      <c r="H24" s="112"/>
      <c r="I24" s="117"/>
      <c r="J24" s="117"/>
      <c r="K24" s="117"/>
      <c r="L24" s="117"/>
      <c r="M24" s="119"/>
      <c r="N24" s="119"/>
      <c r="O24" s="119"/>
    </row>
    <row r="25" spans="1:15" ht="25" customHeight="1" x14ac:dyDescent="0.35">
      <c r="A25" s="111"/>
      <c r="B25" s="111"/>
      <c r="C25" s="111"/>
      <c r="D25" s="111"/>
      <c r="E25" s="111"/>
      <c r="F25" s="112"/>
      <c r="G25" s="112"/>
      <c r="H25" s="112"/>
      <c r="I25" s="117"/>
      <c r="J25" s="117"/>
      <c r="K25" s="117"/>
      <c r="L25" s="117"/>
      <c r="M25" s="119"/>
      <c r="N25" s="119"/>
      <c r="O25" s="119"/>
    </row>
    <row r="26" spans="1:15" ht="25" customHeight="1" x14ac:dyDescent="0.35">
      <c r="A26" s="111"/>
      <c r="B26" s="111"/>
      <c r="C26" s="111"/>
      <c r="D26" s="111"/>
      <c r="E26" s="111"/>
      <c r="F26" s="112"/>
      <c r="G26" s="112"/>
      <c r="H26" s="112"/>
      <c r="I26" s="117"/>
      <c r="J26" s="117"/>
      <c r="K26" s="117"/>
      <c r="L26" s="117"/>
      <c r="M26" s="119"/>
      <c r="N26" s="119"/>
      <c r="O26" s="119"/>
    </row>
    <row r="27" spans="1:15" ht="25" customHeight="1" x14ac:dyDescent="0.35">
      <c r="A27" s="111"/>
      <c r="B27" s="111"/>
      <c r="C27" s="111"/>
      <c r="D27" s="111"/>
      <c r="E27" s="111"/>
      <c r="F27" s="112"/>
      <c r="G27" s="112"/>
      <c r="H27" s="112"/>
      <c r="I27" s="117"/>
      <c r="J27" s="117"/>
      <c r="K27" s="117"/>
      <c r="L27" s="117"/>
      <c r="M27" s="119"/>
      <c r="N27" s="119"/>
      <c r="O27" s="119"/>
    </row>
    <row r="28" spans="1:15" ht="25" customHeight="1" x14ac:dyDescent="0.35">
      <c r="A28" s="111"/>
      <c r="B28" s="111"/>
      <c r="C28" s="111"/>
      <c r="D28" s="111"/>
      <c r="E28" s="111"/>
      <c r="F28" s="112"/>
      <c r="G28" s="112"/>
      <c r="H28" s="112"/>
      <c r="I28" s="117"/>
      <c r="J28" s="117"/>
      <c r="K28" s="117"/>
      <c r="L28" s="117"/>
      <c r="M28" s="119"/>
      <c r="N28" s="119"/>
      <c r="O28" s="119"/>
    </row>
    <row r="29" spans="1:15" ht="25" customHeight="1" x14ac:dyDescent="0.35">
      <c r="A29" s="111"/>
      <c r="B29" s="111"/>
      <c r="C29" s="111"/>
      <c r="D29" s="111"/>
      <c r="E29" s="111"/>
      <c r="F29" s="112"/>
      <c r="G29" s="112"/>
      <c r="H29" s="112"/>
      <c r="I29" s="117"/>
      <c r="J29" s="117"/>
      <c r="K29" s="117"/>
      <c r="L29" s="117"/>
      <c r="M29" s="119"/>
      <c r="N29" s="119"/>
      <c r="O29" s="119"/>
    </row>
    <row r="30" spans="1:15" ht="25" customHeight="1" x14ac:dyDescent="0.35">
      <c r="A30" s="111"/>
      <c r="B30" s="111"/>
      <c r="C30" s="111"/>
      <c r="D30" s="111"/>
      <c r="E30" s="111"/>
      <c r="F30" s="112"/>
      <c r="G30" s="112"/>
      <c r="H30" s="112"/>
      <c r="I30" s="117"/>
      <c r="J30" s="117"/>
      <c r="K30" s="117"/>
      <c r="L30" s="117"/>
      <c r="M30" s="119"/>
      <c r="N30" s="119"/>
      <c r="O30" s="119"/>
    </row>
    <row r="31" spans="1:15" ht="25" customHeight="1" x14ac:dyDescent="0.35">
      <c r="A31" s="111"/>
      <c r="B31" s="111"/>
      <c r="C31" s="111"/>
      <c r="D31" s="111"/>
      <c r="E31" s="111"/>
      <c r="F31" s="112"/>
      <c r="G31" s="112"/>
      <c r="H31" s="112"/>
      <c r="I31" s="117"/>
      <c r="J31" s="117"/>
      <c r="K31" s="117"/>
      <c r="L31" s="117"/>
      <c r="M31" s="119"/>
      <c r="N31" s="119"/>
      <c r="O31" s="119"/>
    </row>
    <row r="32" spans="1:15" ht="25" customHeight="1" x14ac:dyDescent="0.35">
      <c r="A32" s="111"/>
      <c r="B32" s="111"/>
      <c r="C32" s="111"/>
      <c r="D32" s="111"/>
      <c r="E32" s="111"/>
      <c r="F32" s="112"/>
      <c r="G32" s="112"/>
      <c r="H32" s="112"/>
      <c r="I32" s="117"/>
      <c r="J32" s="117"/>
      <c r="K32" s="117"/>
      <c r="L32" s="117"/>
      <c r="M32" s="119"/>
      <c r="N32" s="119"/>
      <c r="O32" s="119"/>
    </row>
    <row r="33" spans="1:15" ht="25" customHeight="1" x14ac:dyDescent="0.35">
      <c r="A33" s="111"/>
      <c r="B33" s="111"/>
      <c r="C33" s="111"/>
      <c r="D33" s="111"/>
      <c r="E33" s="111"/>
      <c r="F33" s="112"/>
      <c r="G33" s="112"/>
      <c r="H33" s="112"/>
      <c r="I33" s="117"/>
      <c r="J33" s="117"/>
      <c r="K33" s="117"/>
      <c r="L33" s="117"/>
      <c r="M33" s="119"/>
      <c r="N33" s="119"/>
      <c r="O33" s="119"/>
    </row>
    <row r="34" spans="1:15" ht="25" customHeight="1" x14ac:dyDescent="0.35">
      <c r="A34" s="111"/>
      <c r="B34" s="111"/>
      <c r="C34" s="111"/>
      <c r="D34" s="111"/>
      <c r="E34" s="111"/>
      <c r="F34" s="112"/>
      <c r="G34" s="112"/>
      <c r="H34" s="112"/>
      <c r="I34" s="117"/>
      <c r="J34" s="117"/>
      <c r="K34" s="117"/>
      <c r="L34" s="117"/>
      <c r="M34" s="119"/>
      <c r="N34" s="119"/>
      <c r="O34" s="119"/>
    </row>
    <row r="35" spans="1:15" ht="25" customHeight="1" x14ac:dyDescent="0.35">
      <c r="A35" s="111"/>
      <c r="B35" s="111"/>
      <c r="C35" s="111"/>
      <c r="D35" s="111"/>
      <c r="E35" s="111"/>
      <c r="F35" s="112"/>
      <c r="G35" s="112"/>
      <c r="H35" s="112"/>
      <c r="I35" s="117"/>
      <c r="J35" s="117"/>
      <c r="K35" s="117"/>
      <c r="L35" s="117"/>
      <c r="M35" s="119"/>
      <c r="N35" s="119"/>
      <c r="O35" s="119"/>
    </row>
    <row r="36" spans="1:15" ht="25" customHeight="1" x14ac:dyDescent="0.35">
      <c r="A36" s="111"/>
      <c r="B36" s="111"/>
      <c r="C36" s="111"/>
      <c r="D36" s="111"/>
      <c r="E36" s="111"/>
      <c r="F36" s="112"/>
      <c r="G36" s="112"/>
      <c r="H36" s="112"/>
      <c r="I36" s="117"/>
      <c r="J36" s="117"/>
      <c r="K36" s="117"/>
      <c r="L36" s="117"/>
      <c r="M36" s="119"/>
      <c r="N36" s="119"/>
      <c r="O36" s="119"/>
    </row>
    <row r="37" spans="1:15" ht="25" customHeight="1" x14ac:dyDescent="0.35">
      <c r="A37" s="111"/>
      <c r="B37" s="111"/>
      <c r="C37" s="111"/>
      <c r="D37" s="111"/>
      <c r="E37" s="111"/>
      <c r="F37" s="112"/>
      <c r="G37" s="112"/>
      <c r="H37" s="112"/>
      <c r="I37" s="117"/>
      <c r="J37" s="117"/>
      <c r="K37" s="117"/>
      <c r="L37" s="117"/>
      <c r="M37" s="119"/>
      <c r="N37" s="119"/>
      <c r="O37" s="119"/>
    </row>
    <row r="38" spans="1:15" ht="25" customHeight="1" x14ac:dyDescent="0.35">
      <c r="A38" s="111"/>
      <c r="B38" s="111"/>
      <c r="C38" s="111"/>
      <c r="D38" s="111"/>
      <c r="E38" s="111"/>
      <c r="F38" s="112"/>
      <c r="G38" s="112"/>
      <c r="H38" s="112"/>
      <c r="I38" s="117"/>
      <c r="J38" s="117"/>
      <c r="K38" s="117"/>
      <c r="L38" s="117"/>
      <c r="M38" s="119"/>
      <c r="N38" s="119"/>
      <c r="O38" s="119"/>
    </row>
    <row r="39" spans="1:15" ht="25" customHeight="1" x14ac:dyDescent="0.35">
      <c r="A39" s="111"/>
      <c r="B39" s="111"/>
      <c r="C39" s="111"/>
      <c r="D39" s="111"/>
      <c r="E39" s="111"/>
      <c r="F39" s="112"/>
      <c r="G39" s="112"/>
      <c r="H39" s="112"/>
      <c r="I39" s="117"/>
      <c r="J39" s="117"/>
      <c r="K39" s="117"/>
      <c r="L39" s="117"/>
      <c r="M39" s="119"/>
      <c r="N39" s="119"/>
      <c r="O39" s="119"/>
    </row>
    <row r="40" spans="1:15" ht="25" customHeight="1" x14ac:dyDescent="0.35">
      <c r="A40" s="111"/>
      <c r="B40" s="111"/>
      <c r="C40" s="111"/>
      <c r="D40" s="111"/>
      <c r="E40" s="111"/>
      <c r="F40" s="112"/>
      <c r="G40" s="112"/>
      <c r="H40" s="112"/>
      <c r="I40" s="117"/>
      <c r="J40" s="117"/>
      <c r="K40" s="117"/>
      <c r="L40" s="117"/>
      <c r="M40" s="119"/>
      <c r="N40" s="119"/>
      <c r="O40" s="119"/>
    </row>
    <row r="41" spans="1:15" ht="25" customHeight="1" x14ac:dyDescent="0.35">
      <c r="A41" s="111"/>
      <c r="B41" s="111"/>
      <c r="C41" s="111"/>
      <c r="D41" s="111"/>
      <c r="E41" s="111"/>
      <c r="F41" s="112"/>
      <c r="G41" s="112"/>
      <c r="H41" s="112"/>
      <c r="I41" s="117"/>
      <c r="J41" s="117"/>
      <c r="K41" s="117"/>
      <c r="L41" s="117"/>
      <c r="M41" s="119"/>
      <c r="N41" s="119"/>
      <c r="O41" s="119"/>
    </row>
    <row r="42" spans="1:15" ht="25" customHeight="1" x14ac:dyDescent="0.35">
      <c r="A42" s="111"/>
      <c r="B42" s="111"/>
      <c r="C42" s="111"/>
      <c r="D42" s="111"/>
      <c r="E42" s="111"/>
      <c r="F42" s="112"/>
      <c r="G42" s="112"/>
      <c r="H42" s="112"/>
      <c r="I42" s="117"/>
      <c r="J42" s="117"/>
      <c r="K42" s="117"/>
      <c r="L42" s="117"/>
      <c r="M42" s="119"/>
      <c r="N42" s="119"/>
      <c r="O42" s="119"/>
    </row>
    <row r="43" spans="1:15" ht="25" customHeight="1" x14ac:dyDescent="0.35">
      <c r="A43" s="111"/>
      <c r="B43" s="111"/>
      <c r="C43" s="111"/>
      <c r="D43" s="111"/>
      <c r="E43" s="111"/>
      <c r="F43" s="112"/>
      <c r="G43" s="112"/>
      <c r="H43" s="112"/>
      <c r="I43" s="117"/>
      <c r="J43" s="117"/>
      <c r="K43" s="117"/>
      <c r="L43" s="117"/>
      <c r="M43" s="119"/>
      <c r="N43" s="119"/>
      <c r="O43" s="119"/>
    </row>
    <row r="44" spans="1:15" ht="25" customHeight="1" x14ac:dyDescent="0.35">
      <c r="A44" s="111"/>
      <c r="B44" s="111"/>
      <c r="C44" s="111"/>
      <c r="D44" s="111"/>
      <c r="E44" s="111"/>
      <c r="F44" s="112"/>
      <c r="G44" s="112"/>
      <c r="H44" s="112"/>
      <c r="I44" s="117"/>
      <c r="J44" s="117"/>
      <c r="K44" s="117"/>
      <c r="L44" s="117"/>
      <c r="M44" s="119"/>
      <c r="N44" s="119"/>
      <c r="O44" s="119"/>
    </row>
    <row r="45" spans="1:15" ht="25" customHeight="1" x14ac:dyDescent="0.35">
      <c r="A45" s="111"/>
      <c r="B45" s="111"/>
      <c r="C45" s="111"/>
      <c r="D45" s="111"/>
      <c r="E45" s="111"/>
      <c r="F45" s="112"/>
      <c r="G45" s="112"/>
      <c r="H45" s="112"/>
      <c r="I45" s="117"/>
      <c r="J45" s="117"/>
      <c r="K45" s="117"/>
      <c r="L45" s="117"/>
      <c r="M45" s="119"/>
      <c r="N45" s="119"/>
      <c r="O45" s="119"/>
    </row>
    <row r="46" spans="1:15" ht="25" customHeight="1" x14ac:dyDescent="0.35">
      <c r="A46" s="111"/>
      <c r="B46" s="111"/>
      <c r="C46" s="111"/>
      <c r="D46" s="111"/>
      <c r="E46" s="111"/>
      <c r="F46" s="112"/>
      <c r="G46" s="112"/>
      <c r="H46" s="112"/>
      <c r="I46" s="117"/>
      <c r="J46" s="117"/>
      <c r="K46" s="117"/>
      <c r="L46" s="117"/>
      <c r="M46" s="119"/>
      <c r="N46" s="119"/>
      <c r="O46" s="119"/>
    </row>
    <row r="47" spans="1:15" ht="25" customHeight="1" x14ac:dyDescent="0.35">
      <c r="A47" s="111"/>
      <c r="B47" s="111"/>
      <c r="C47" s="111"/>
      <c r="D47" s="111"/>
      <c r="E47" s="111"/>
      <c r="F47" s="112"/>
      <c r="G47" s="112"/>
      <c r="H47" s="112"/>
      <c r="I47" s="117"/>
      <c r="J47" s="117"/>
      <c r="K47" s="117"/>
      <c r="L47" s="117"/>
      <c r="M47" s="119"/>
      <c r="N47" s="119"/>
      <c r="O47" s="119"/>
    </row>
    <row r="48" spans="1:15" ht="25" customHeight="1" x14ac:dyDescent="0.35">
      <c r="A48" s="111"/>
      <c r="B48" s="111"/>
      <c r="C48" s="111"/>
      <c r="D48" s="111"/>
      <c r="E48" s="111"/>
      <c r="F48" s="112"/>
      <c r="G48" s="112"/>
      <c r="H48" s="112"/>
      <c r="I48" s="117"/>
      <c r="J48" s="117"/>
      <c r="K48" s="117"/>
      <c r="L48" s="117"/>
      <c r="M48" s="119"/>
      <c r="N48" s="119"/>
      <c r="O48" s="119"/>
    </row>
    <row r="49" spans="1:15" ht="25" customHeight="1" x14ac:dyDescent="0.35">
      <c r="A49" s="111"/>
      <c r="B49" s="111"/>
      <c r="C49" s="111"/>
      <c r="D49" s="111"/>
      <c r="E49" s="111"/>
      <c r="F49" s="112"/>
      <c r="G49" s="112"/>
      <c r="H49" s="112"/>
      <c r="I49" s="117"/>
      <c r="J49" s="117"/>
      <c r="K49" s="117"/>
      <c r="L49" s="117"/>
      <c r="M49" s="119"/>
      <c r="N49" s="119"/>
      <c r="O49" s="119"/>
    </row>
    <row r="50" spans="1:15" ht="25" customHeight="1" x14ac:dyDescent="0.35">
      <c r="A50" s="111"/>
      <c r="B50" s="111"/>
      <c r="C50" s="111"/>
      <c r="D50" s="111"/>
      <c r="E50" s="111"/>
      <c r="F50" s="112"/>
      <c r="G50" s="112"/>
      <c r="H50" s="112"/>
      <c r="I50" s="117"/>
      <c r="J50" s="117"/>
      <c r="K50" s="117"/>
      <c r="L50" s="117"/>
      <c r="M50" s="119"/>
      <c r="N50" s="119"/>
      <c r="O50" s="119"/>
    </row>
    <row r="51" spans="1:15" ht="25" customHeight="1" x14ac:dyDescent="0.35">
      <c r="A51" s="111"/>
      <c r="B51" s="111"/>
      <c r="C51" s="111"/>
      <c r="D51" s="111"/>
      <c r="E51" s="111"/>
      <c r="F51" s="112"/>
      <c r="G51" s="112"/>
      <c r="H51" s="112"/>
      <c r="I51" s="117"/>
      <c r="J51" s="117"/>
      <c r="K51" s="117"/>
      <c r="L51" s="117"/>
      <c r="M51" s="119"/>
      <c r="N51" s="119"/>
      <c r="O51" s="119"/>
    </row>
    <row r="52" spans="1:15" ht="25" customHeight="1" x14ac:dyDescent="0.35">
      <c r="A52" s="111"/>
      <c r="B52" s="111"/>
      <c r="C52" s="111"/>
      <c r="D52" s="111"/>
      <c r="E52" s="111"/>
      <c r="F52" s="112"/>
      <c r="G52" s="112"/>
      <c r="H52" s="112"/>
      <c r="I52" s="117"/>
      <c r="J52" s="117"/>
      <c r="K52" s="117"/>
      <c r="L52" s="117"/>
      <c r="M52" s="119"/>
      <c r="N52" s="119"/>
      <c r="O52" s="119"/>
    </row>
    <row r="53" spans="1:15" ht="25" customHeight="1" x14ac:dyDescent="0.35">
      <c r="A53" s="111"/>
      <c r="B53" s="111"/>
      <c r="C53" s="111"/>
      <c r="D53" s="111"/>
      <c r="E53" s="111"/>
      <c r="F53" s="112"/>
      <c r="G53" s="112"/>
      <c r="H53" s="112"/>
      <c r="I53" s="117"/>
      <c r="J53" s="117"/>
      <c r="K53" s="117"/>
      <c r="L53" s="117"/>
      <c r="M53" s="119"/>
      <c r="N53" s="119"/>
      <c r="O53" s="119"/>
    </row>
    <row r="54" spans="1:15" ht="25" customHeight="1" x14ac:dyDescent="0.35">
      <c r="A54" s="111"/>
      <c r="B54" s="111"/>
      <c r="C54" s="111"/>
      <c r="D54" s="111"/>
      <c r="E54" s="111"/>
      <c r="F54" s="112"/>
      <c r="G54" s="112"/>
      <c r="H54" s="112"/>
      <c r="I54" s="117"/>
      <c r="J54" s="117"/>
      <c r="K54" s="117"/>
      <c r="L54" s="117"/>
      <c r="M54" s="119"/>
      <c r="N54" s="119"/>
      <c r="O54" s="119"/>
    </row>
    <row r="55" spans="1:15" ht="25" customHeight="1" x14ac:dyDescent="0.35">
      <c r="A55" s="111"/>
      <c r="B55" s="111"/>
      <c r="C55" s="111"/>
      <c r="D55" s="111"/>
      <c r="E55" s="111"/>
      <c r="F55" s="112"/>
      <c r="G55" s="112"/>
      <c r="H55" s="112"/>
      <c r="I55" s="117"/>
      <c r="J55" s="117"/>
      <c r="K55" s="117"/>
      <c r="L55" s="117"/>
      <c r="M55" s="119"/>
      <c r="N55" s="119"/>
      <c r="O55" s="119"/>
    </row>
    <row r="56" spans="1:15" ht="25" customHeight="1" x14ac:dyDescent="0.35">
      <c r="A56" s="111"/>
      <c r="B56" s="111"/>
      <c r="C56" s="111"/>
      <c r="D56" s="111"/>
      <c r="E56" s="111"/>
      <c r="F56" s="112"/>
      <c r="G56" s="112"/>
      <c r="H56" s="112"/>
      <c r="I56" s="117"/>
      <c r="J56" s="117"/>
      <c r="K56" s="117"/>
      <c r="L56" s="117"/>
      <c r="M56" s="119"/>
      <c r="N56" s="119"/>
      <c r="O56" s="119"/>
    </row>
    <row r="57" spans="1:15" ht="25" customHeight="1" x14ac:dyDescent="0.35">
      <c r="A57" s="111"/>
      <c r="B57" s="111"/>
      <c r="C57" s="111"/>
      <c r="D57" s="111"/>
      <c r="E57" s="111"/>
      <c r="F57" s="112"/>
      <c r="G57" s="112"/>
      <c r="H57" s="112"/>
      <c r="I57" s="117"/>
      <c r="J57" s="117"/>
      <c r="K57" s="117"/>
      <c r="L57" s="117"/>
      <c r="M57" s="119"/>
      <c r="N57" s="119"/>
      <c r="O57" s="119"/>
    </row>
    <row r="58" spans="1:15" ht="25" customHeight="1" x14ac:dyDescent="0.35">
      <c r="A58" s="111"/>
      <c r="B58" s="111"/>
      <c r="C58" s="111"/>
      <c r="D58" s="111"/>
      <c r="E58" s="111"/>
      <c r="F58" s="112"/>
      <c r="G58" s="112"/>
      <c r="H58" s="112"/>
      <c r="I58" s="117"/>
      <c r="J58" s="117"/>
      <c r="K58" s="117"/>
      <c r="L58" s="117"/>
      <c r="M58" s="119"/>
      <c r="N58" s="119"/>
      <c r="O58" s="119"/>
    </row>
    <row r="59" spans="1:15" ht="25" customHeight="1" x14ac:dyDescent="0.35">
      <c r="A59" s="111"/>
      <c r="B59" s="111"/>
      <c r="C59" s="111"/>
      <c r="D59" s="111"/>
      <c r="E59" s="111"/>
      <c r="F59" s="112"/>
      <c r="G59" s="112"/>
      <c r="H59" s="112"/>
      <c r="I59" s="117"/>
      <c r="J59" s="117"/>
      <c r="K59" s="117"/>
      <c r="L59" s="117"/>
      <c r="M59" s="119"/>
      <c r="N59" s="119"/>
      <c r="O59" s="119"/>
    </row>
    <row r="60" spans="1:15" ht="25" customHeight="1" x14ac:dyDescent="0.35">
      <c r="A60" s="111"/>
      <c r="B60" s="111"/>
      <c r="C60" s="111"/>
      <c r="D60" s="111"/>
      <c r="E60" s="111"/>
      <c r="F60" s="112"/>
      <c r="G60" s="112"/>
      <c r="H60" s="112"/>
      <c r="I60" s="117"/>
      <c r="J60" s="117"/>
      <c r="K60" s="117"/>
      <c r="L60" s="117"/>
      <c r="M60" s="119"/>
      <c r="N60" s="119"/>
      <c r="O60" s="119"/>
    </row>
    <row r="61" spans="1:15" ht="25" customHeight="1" x14ac:dyDescent="0.35">
      <c r="A61" s="111"/>
      <c r="B61" s="111"/>
      <c r="C61" s="111"/>
      <c r="D61" s="111"/>
      <c r="E61" s="111"/>
      <c r="F61" s="112"/>
      <c r="G61" s="112"/>
      <c r="H61" s="112"/>
      <c r="I61" s="117"/>
      <c r="J61" s="117"/>
      <c r="K61" s="117"/>
      <c r="L61" s="117"/>
      <c r="M61" s="119"/>
      <c r="N61" s="119"/>
      <c r="O61" s="119"/>
    </row>
    <row r="62" spans="1:15" ht="25" customHeight="1" x14ac:dyDescent="0.35">
      <c r="A62" s="111"/>
      <c r="B62" s="111"/>
      <c r="C62" s="111"/>
      <c r="D62" s="111"/>
      <c r="E62" s="111"/>
      <c r="F62" s="112"/>
      <c r="G62" s="112"/>
      <c r="H62" s="112"/>
      <c r="I62" s="117"/>
      <c r="J62" s="117"/>
      <c r="K62" s="117"/>
      <c r="L62" s="117"/>
      <c r="M62" s="119"/>
      <c r="N62" s="119"/>
      <c r="O62" s="119"/>
    </row>
    <row r="63" spans="1:15" ht="25" customHeight="1" x14ac:dyDescent="0.35">
      <c r="A63" s="111"/>
      <c r="B63" s="111"/>
      <c r="C63" s="111"/>
      <c r="D63" s="111"/>
      <c r="E63" s="111"/>
      <c r="F63" s="112"/>
      <c r="G63" s="112"/>
      <c r="H63" s="112"/>
      <c r="I63" s="117"/>
      <c r="J63" s="117"/>
      <c r="K63" s="117"/>
      <c r="L63" s="117"/>
      <c r="M63" s="119"/>
      <c r="N63" s="119"/>
      <c r="O63" s="119"/>
    </row>
    <row r="64" spans="1:15" ht="25" customHeight="1" x14ac:dyDescent="0.35">
      <c r="A64" s="111"/>
      <c r="B64" s="111"/>
      <c r="C64" s="111"/>
      <c r="D64" s="111"/>
      <c r="E64" s="111"/>
      <c r="F64" s="112"/>
      <c r="G64" s="112"/>
      <c r="H64" s="112"/>
      <c r="I64" s="117"/>
      <c r="J64" s="117"/>
      <c r="K64" s="117"/>
      <c r="L64" s="117"/>
      <c r="M64" s="119"/>
      <c r="N64" s="119"/>
      <c r="O64" s="119"/>
    </row>
    <row r="65" spans="1:15" ht="25" customHeight="1" x14ac:dyDescent="0.35">
      <c r="A65" s="111"/>
      <c r="B65" s="111"/>
      <c r="C65" s="111"/>
      <c r="D65" s="111"/>
      <c r="E65" s="111"/>
      <c r="F65" s="112"/>
      <c r="G65" s="112"/>
      <c r="H65" s="112"/>
      <c r="I65" s="117"/>
      <c r="J65" s="117"/>
      <c r="K65" s="117"/>
      <c r="L65" s="117"/>
      <c r="M65" s="119"/>
      <c r="N65" s="119"/>
      <c r="O65" s="119"/>
    </row>
    <row r="66" spans="1:15" ht="25" customHeight="1" x14ac:dyDescent="0.35">
      <c r="A66" s="111"/>
      <c r="B66" s="111"/>
      <c r="C66" s="111"/>
      <c r="D66" s="111"/>
      <c r="E66" s="111"/>
      <c r="F66" s="112"/>
      <c r="G66" s="112"/>
      <c r="H66" s="112"/>
      <c r="I66" s="117"/>
      <c r="J66" s="117"/>
      <c r="K66" s="117"/>
      <c r="L66" s="117"/>
      <c r="M66" s="119"/>
      <c r="N66" s="119"/>
      <c r="O66" s="119"/>
    </row>
    <row r="67" spans="1:15" ht="25" customHeight="1" x14ac:dyDescent="0.35">
      <c r="A67" s="111"/>
      <c r="B67" s="111"/>
      <c r="C67" s="111"/>
      <c r="D67" s="111"/>
      <c r="E67" s="111"/>
      <c r="F67" s="112"/>
      <c r="G67" s="112"/>
      <c r="H67" s="112"/>
      <c r="I67" s="117"/>
      <c r="J67" s="117"/>
      <c r="K67" s="117"/>
      <c r="L67" s="117"/>
      <c r="M67" s="119"/>
      <c r="N67" s="119"/>
      <c r="O67" s="119"/>
    </row>
    <row r="68" spans="1:15" ht="25" customHeight="1" x14ac:dyDescent="0.35">
      <c r="A68" s="111"/>
      <c r="B68" s="111"/>
      <c r="C68" s="111"/>
      <c r="D68" s="111"/>
      <c r="E68" s="111"/>
      <c r="F68" s="112"/>
      <c r="G68" s="112"/>
      <c r="H68" s="112"/>
      <c r="I68" s="117"/>
      <c r="J68" s="117"/>
      <c r="K68" s="117"/>
      <c r="L68" s="117"/>
      <c r="M68" s="119"/>
      <c r="N68" s="119"/>
      <c r="O68" s="119"/>
    </row>
    <row r="69" spans="1:15" ht="25" customHeight="1" x14ac:dyDescent="0.35">
      <c r="A69" s="111"/>
      <c r="B69" s="111"/>
      <c r="C69" s="111"/>
      <c r="D69" s="111"/>
      <c r="E69" s="111"/>
      <c r="F69" s="112"/>
      <c r="G69" s="112"/>
      <c r="H69" s="112"/>
      <c r="I69" s="117"/>
      <c r="J69" s="117"/>
      <c r="K69" s="117"/>
      <c r="L69" s="117"/>
      <c r="M69" s="119"/>
      <c r="N69" s="119"/>
      <c r="O69" s="119"/>
    </row>
    <row r="70" spans="1:15" ht="25" customHeight="1" x14ac:dyDescent="0.35">
      <c r="A70" s="111"/>
      <c r="B70" s="111"/>
      <c r="C70" s="111"/>
      <c r="D70" s="111"/>
      <c r="E70" s="111"/>
      <c r="F70" s="112"/>
      <c r="G70" s="112"/>
      <c r="H70" s="112"/>
      <c r="I70" s="117"/>
      <c r="J70" s="117"/>
      <c r="K70" s="117"/>
      <c r="L70" s="117"/>
      <c r="M70" s="119"/>
      <c r="N70" s="119"/>
      <c r="O70" s="119"/>
    </row>
    <row r="71" spans="1:15" ht="25" customHeight="1" x14ac:dyDescent="0.35">
      <c r="A71" s="111"/>
      <c r="B71" s="111"/>
      <c r="C71" s="111"/>
      <c r="D71" s="111"/>
      <c r="E71" s="111"/>
      <c r="F71" s="112"/>
      <c r="G71" s="112"/>
      <c r="H71" s="112"/>
      <c r="I71" s="117"/>
      <c r="J71" s="117"/>
      <c r="K71" s="117"/>
      <c r="L71" s="117"/>
      <c r="M71" s="119"/>
      <c r="N71" s="119"/>
      <c r="O71" s="119"/>
    </row>
    <row r="72" spans="1:15" ht="25" customHeight="1" x14ac:dyDescent="0.35">
      <c r="A72" s="111"/>
      <c r="B72" s="111"/>
      <c r="C72" s="111"/>
      <c r="D72" s="111"/>
      <c r="E72" s="111"/>
      <c r="F72" s="112"/>
      <c r="G72" s="112"/>
      <c r="H72" s="112"/>
      <c r="I72" s="117"/>
      <c r="J72" s="117"/>
      <c r="K72" s="117"/>
      <c r="L72" s="117"/>
      <c r="M72" s="119"/>
      <c r="N72" s="119"/>
      <c r="O72" s="119"/>
    </row>
    <row r="73" spans="1:15" ht="25" customHeight="1" x14ac:dyDescent="0.35">
      <c r="A73" s="111"/>
      <c r="B73" s="111"/>
      <c r="C73" s="111"/>
      <c r="D73" s="111"/>
      <c r="E73" s="111"/>
      <c r="F73" s="112"/>
      <c r="G73" s="112"/>
      <c r="H73" s="112"/>
      <c r="I73" s="117"/>
      <c r="J73" s="117"/>
      <c r="K73" s="117"/>
      <c r="L73" s="117"/>
      <c r="M73" s="119"/>
      <c r="N73" s="119"/>
      <c r="O73" s="119"/>
    </row>
    <row r="74" spans="1:15" ht="25" customHeight="1" x14ac:dyDescent="0.35">
      <c r="A74" s="111"/>
      <c r="B74" s="111"/>
      <c r="C74" s="111"/>
      <c r="D74" s="111"/>
      <c r="E74" s="111"/>
      <c r="F74" s="112"/>
      <c r="G74" s="112"/>
      <c r="H74" s="112"/>
      <c r="I74" s="117"/>
      <c r="J74" s="117"/>
      <c r="K74" s="117"/>
      <c r="L74" s="117"/>
      <c r="M74" s="119"/>
      <c r="N74" s="119"/>
      <c r="O74" s="119"/>
    </row>
    <row r="75" spans="1:15" ht="25" customHeight="1" x14ac:dyDescent="0.35">
      <c r="A75" s="111"/>
      <c r="B75" s="111"/>
      <c r="C75" s="111"/>
      <c r="D75" s="111"/>
      <c r="E75" s="111"/>
      <c r="F75" s="112"/>
      <c r="G75" s="112"/>
      <c r="H75" s="112"/>
      <c r="I75" s="117"/>
      <c r="J75" s="117"/>
      <c r="K75" s="117"/>
      <c r="L75" s="117"/>
      <c r="M75" s="119"/>
      <c r="N75" s="119"/>
      <c r="O75" s="119"/>
    </row>
    <row r="76" spans="1:15" ht="25" customHeight="1" x14ac:dyDescent="0.35">
      <c r="A76" s="111"/>
      <c r="B76" s="111"/>
      <c r="C76" s="111"/>
      <c r="D76" s="111"/>
      <c r="E76" s="111"/>
      <c r="F76" s="112"/>
      <c r="G76" s="112"/>
      <c r="H76" s="112"/>
      <c r="I76" s="117"/>
      <c r="J76" s="117"/>
      <c r="K76" s="117"/>
      <c r="L76" s="117"/>
      <c r="M76" s="119"/>
      <c r="N76" s="119"/>
      <c r="O76" s="119"/>
    </row>
    <row r="77" spans="1:15" ht="25" customHeight="1" x14ac:dyDescent="0.35">
      <c r="A77" s="111"/>
      <c r="B77" s="111"/>
      <c r="C77" s="111"/>
      <c r="D77" s="111"/>
      <c r="E77" s="111"/>
      <c r="F77" s="112"/>
      <c r="G77" s="112"/>
      <c r="H77" s="112"/>
      <c r="I77" s="117"/>
      <c r="J77" s="117"/>
      <c r="K77" s="117"/>
      <c r="L77" s="117"/>
      <c r="M77" s="119"/>
      <c r="N77" s="119"/>
      <c r="O77" s="119"/>
    </row>
    <row r="78" spans="1:15" ht="25" customHeight="1" x14ac:dyDescent="0.35">
      <c r="A78" s="111"/>
      <c r="B78" s="111"/>
      <c r="C78" s="111"/>
      <c r="D78" s="111"/>
      <c r="E78" s="111"/>
      <c r="F78" s="112"/>
      <c r="G78" s="112"/>
      <c r="H78" s="112"/>
      <c r="I78" s="117"/>
      <c r="J78" s="117"/>
      <c r="K78" s="117"/>
      <c r="L78" s="117"/>
      <c r="M78" s="119"/>
      <c r="N78" s="119"/>
      <c r="O78" s="119"/>
    </row>
    <row r="79" spans="1:15" ht="25" customHeight="1" x14ac:dyDescent="0.35">
      <c r="A79" s="111"/>
      <c r="B79" s="111"/>
      <c r="C79" s="111"/>
      <c r="D79" s="111"/>
      <c r="E79" s="111"/>
      <c r="F79" s="112"/>
      <c r="G79" s="112"/>
      <c r="H79" s="112"/>
      <c r="I79" s="117"/>
      <c r="J79" s="117"/>
      <c r="K79" s="117"/>
      <c r="L79" s="117"/>
      <c r="M79" s="119"/>
      <c r="N79" s="119"/>
      <c r="O79" s="119"/>
    </row>
    <row r="80" spans="1:15" ht="25" customHeight="1" x14ac:dyDescent="0.35">
      <c r="A80" s="111"/>
      <c r="B80" s="111"/>
      <c r="C80" s="111"/>
      <c r="D80" s="111"/>
      <c r="E80" s="111"/>
      <c r="F80" s="112"/>
      <c r="G80" s="112"/>
      <c r="H80" s="112"/>
      <c r="I80" s="117"/>
      <c r="J80" s="117"/>
      <c r="K80" s="117"/>
      <c r="L80" s="117"/>
      <c r="M80" s="119"/>
      <c r="N80" s="119"/>
      <c r="O80" s="119"/>
    </row>
    <row r="81" spans="1:15" ht="25" customHeight="1" x14ac:dyDescent="0.35">
      <c r="A81" s="111"/>
      <c r="B81" s="111"/>
      <c r="C81" s="111"/>
      <c r="D81" s="111"/>
      <c r="E81" s="111"/>
      <c r="F81" s="112"/>
      <c r="G81" s="112"/>
      <c r="H81" s="112"/>
      <c r="I81" s="117"/>
      <c r="J81" s="117"/>
      <c r="K81" s="117"/>
      <c r="L81" s="117"/>
      <c r="M81" s="119"/>
      <c r="N81" s="119"/>
      <c r="O81" s="119"/>
    </row>
    <row r="82" spans="1:15" ht="25" customHeight="1" x14ac:dyDescent="0.35">
      <c r="A82" s="111"/>
      <c r="B82" s="111"/>
      <c r="C82" s="111"/>
      <c r="D82" s="111"/>
      <c r="E82" s="111"/>
      <c r="F82" s="112"/>
      <c r="G82" s="112"/>
      <c r="H82" s="112"/>
      <c r="I82" s="117"/>
      <c r="J82" s="117"/>
      <c r="K82" s="117"/>
      <c r="L82" s="117"/>
      <c r="M82" s="119"/>
      <c r="N82" s="119"/>
      <c r="O82" s="119"/>
    </row>
    <row r="83" spans="1:15" ht="25" customHeight="1" x14ac:dyDescent="0.35">
      <c r="A83" s="111"/>
      <c r="B83" s="111"/>
      <c r="C83" s="111"/>
      <c r="D83" s="111"/>
      <c r="E83" s="111"/>
      <c r="F83" s="112"/>
      <c r="G83" s="112"/>
      <c r="H83" s="112"/>
      <c r="I83" s="117"/>
      <c r="J83" s="117"/>
      <c r="K83" s="117"/>
      <c r="L83" s="117"/>
      <c r="M83" s="119"/>
      <c r="N83" s="119"/>
      <c r="O83" s="119"/>
    </row>
    <row r="84" spans="1:15" ht="25" customHeight="1" x14ac:dyDescent="0.35">
      <c r="A84" s="111"/>
      <c r="B84" s="111"/>
      <c r="C84" s="111"/>
      <c r="D84" s="111"/>
      <c r="E84" s="111"/>
      <c r="F84" s="112"/>
      <c r="G84" s="112"/>
      <c r="H84" s="112"/>
      <c r="I84" s="117"/>
      <c r="J84" s="117"/>
      <c r="K84" s="117"/>
      <c r="L84" s="117"/>
      <c r="M84" s="119"/>
      <c r="N84" s="119"/>
      <c r="O84" s="119"/>
    </row>
    <row r="85" spans="1:15" ht="25" customHeight="1" x14ac:dyDescent="0.35">
      <c r="A85" s="111"/>
      <c r="B85" s="111"/>
      <c r="C85" s="111"/>
      <c r="D85" s="111"/>
      <c r="E85" s="111"/>
      <c r="F85" s="112"/>
      <c r="G85" s="112"/>
      <c r="H85" s="112"/>
      <c r="I85" s="117"/>
      <c r="J85" s="117"/>
      <c r="K85" s="117"/>
      <c r="L85" s="117"/>
      <c r="M85" s="119"/>
      <c r="N85" s="119"/>
      <c r="O85" s="119"/>
    </row>
    <row r="86" spans="1:15" ht="25" customHeight="1" x14ac:dyDescent="0.35">
      <c r="A86" s="111"/>
      <c r="B86" s="111"/>
      <c r="C86" s="111"/>
      <c r="D86" s="111"/>
      <c r="E86" s="111"/>
      <c r="F86" s="112"/>
      <c r="G86" s="112"/>
      <c r="H86" s="112"/>
      <c r="I86" s="117"/>
      <c r="J86" s="117"/>
      <c r="K86" s="117"/>
      <c r="L86" s="117"/>
      <c r="M86" s="119"/>
      <c r="N86" s="119"/>
      <c r="O86" s="119"/>
    </row>
    <row r="87" spans="1:15" ht="25" customHeight="1" x14ac:dyDescent="0.35">
      <c r="A87" s="111"/>
      <c r="B87" s="111"/>
      <c r="C87" s="111"/>
      <c r="D87" s="111"/>
      <c r="E87" s="111"/>
      <c r="F87" s="112"/>
      <c r="G87" s="112"/>
      <c r="H87" s="112"/>
      <c r="I87" s="117"/>
      <c r="J87" s="117"/>
      <c r="K87" s="117"/>
      <c r="L87" s="117"/>
      <c r="M87" s="119"/>
      <c r="N87" s="119"/>
      <c r="O87" s="119"/>
    </row>
    <row r="88" spans="1:15" ht="25" customHeight="1" x14ac:dyDescent="0.35">
      <c r="A88" s="111"/>
      <c r="B88" s="111"/>
      <c r="C88" s="111"/>
      <c r="D88" s="111"/>
      <c r="E88" s="111"/>
      <c r="F88" s="112"/>
      <c r="G88" s="112"/>
      <c r="H88" s="112"/>
      <c r="I88" s="117"/>
      <c r="J88" s="117"/>
      <c r="K88" s="117"/>
      <c r="L88" s="117"/>
      <c r="M88" s="119"/>
      <c r="N88" s="119"/>
      <c r="O88" s="119"/>
    </row>
    <row r="89" spans="1:15" ht="25" customHeight="1" x14ac:dyDescent="0.35">
      <c r="A89" s="111"/>
      <c r="B89" s="111"/>
      <c r="C89" s="111"/>
      <c r="D89" s="111"/>
      <c r="E89" s="111"/>
      <c r="F89" s="112"/>
      <c r="G89" s="112"/>
      <c r="H89" s="112"/>
      <c r="I89" s="117"/>
      <c r="J89" s="117"/>
      <c r="K89" s="117"/>
      <c r="L89" s="117"/>
      <c r="M89" s="119"/>
      <c r="N89" s="119"/>
      <c r="O89" s="119"/>
    </row>
    <row r="90" spans="1:15" ht="25" customHeight="1" x14ac:dyDescent="0.35">
      <c r="A90" s="111"/>
      <c r="B90" s="111"/>
      <c r="C90" s="111"/>
      <c r="D90" s="111"/>
      <c r="E90" s="111"/>
      <c r="F90" s="112"/>
      <c r="G90" s="112"/>
      <c r="H90" s="112"/>
      <c r="I90" s="117"/>
      <c r="J90" s="117"/>
      <c r="K90" s="117"/>
      <c r="L90" s="117"/>
      <c r="M90" s="119"/>
      <c r="N90" s="119"/>
      <c r="O90" s="119"/>
    </row>
    <row r="91" spans="1:15" ht="25" customHeight="1" x14ac:dyDescent="0.35">
      <c r="A91" s="111"/>
      <c r="B91" s="111"/>
      <c r="C91" s="111"/>
      <c r="D91" s="111"/>
      <c r="E91" s="111"/>
      <c r="F91" s="112"/>
      <c r="G91" s="112"/>
      <c r="H91" s="112"/>
      <c r="I91" s="117"/>
      <c r="J91" s="117"/>
      <c r="K91" s="117"/>
      <c r="L91" s="117"/>
      <c r="M91" s="119"/>
      <c r="N91" s="119"/>
      <c r="O91" s="119"/>
    </row>
    <row r="92" spans="1:15" ht="25" customHeight="1" x14ac:dyDescent="0.35">
      <c r="A92" s="111"/>
      <c r="B92" s="111"/>
      <c r="C92" s="111"/>
      <c r="D92" s="111"/>
      <c r="E92" s="111"/>
      <c r="F92" s="112"/>
      <c r="G92" s="112"/>
      <c r="H92" s="112"/>
      <c r="I92" s="117"/>
      <c r="J92" s="117"/>
      <c r="K92" s="117"/>
      <c r="L92" s="117"/>
      <c r="M92" s="119"/>
      <c r="N92" s="119"/>
      <c r="O92" s="119"/>
    </row>
    <row r="93" spans="1:15" ht="25" customHeight="1" x14ac:dyDescent="0.35">
      <c r="A93" s="111"/>
      <c r="B93" s="111"/>
      <c r="C93" s="111"/>
      <c r="D93" s="111"/>
      <c r="E93" s="111"/>
      <c r="F93" s="112"/>
      <c r="G93" s="112"/>
      <c r="H93" s="112"/>
      <c r="I93" s="117"/>
      <c r="J93" s="117"/>
      <c r="K93" s="117"/>
      <c r="L93" s="117"/>
      <c r="M93" s="119"/>
      <c r="N93" s="119"/>
      <c r="O93" s="119"/>
    </row>
    <row r="94" spans="1:15" ht="25" customHeight="1" x14ac:dyDescent="0.35">
      <c r="A94" s="111"/>
      <c r="B94" s="111"/>
      <c r="C94" s="111"/>
      <c r="D94" s="111"/>
      <c r="E94" s="111"/>
      <c r="F94" s="112"/>
      <c r="G94" s="112"/>
      <c r="H94" s="112"/>
      <c r="I94" s="117"/>
      <c r="J94" s="117"/>
      <c r="K94" s="117"/>
      <c r="L94" s="117"/>
      <c r="M94" s="119"/>
      <c r="N94" s="119"/>
      <c r="O94" s="119"/>
    </row>
    <row r="95" spans="1:15" ht="25" customHeight="1" x14ac:dyDescent="0.35">
      <c r="A95" s="111"/>
      <c r="B95" s="111"/>
      <c r="C95" s="111"/>
      <c r="D95" s="111"/>
      <c r="E95" s="111"/>
      <c r="F95" s="112"/>
      <c r="G95" s="112"/>
      <c r="H95" s="112"/>
      <c r="I95" s="117"/>
      <c r="J95" s="117"/>
      <c r="K95" s="117"/>
      <c r="L95" s="117"/>
      <c r="M95" s="119"/>
      <c r="N95" s="119"/>
      <c r="O95" s="119"/>
    </row>
    <row r="96" spans="1:15" ht="25" customHeight="1" x14ac:dyDescent="0.35">
      <c r="A96" s="111"/>
      <c r="B96" s="111"/>
      <c r="C96" s="111"/>
      <c r="D96" s="111"/>
      <c r="E96" s="111"/>
      <c r="F96" s="112"/>
      <c r="G96" s="112"/>
      <c r="H96" s="112"/>
      <c r="I96" s="117"/>
      <c r="J96" s="117"/>
      <c r="K96" s="117"/>
      <c r="L96" s="117"/>
      <c r="M96" s="119"/>
      <c r="N96" s="119"/>
      <c r="O96" s="119"/>
    </row>
    <row r="97" spans="1:15" ht="25" customHeight="1" x14ac:dyDescent="0.35">
      <c r="A97" s="111"/>
      <c r="B97" s="111"/>
      <c r="C97" s="111"/>
      <c r="D97" s="111"/>
      <c r="E97" s="111"/>
      <c r="F97" s="112"/>
      <c r="G97" s="112"/>
      <c r="H97" s="112"/>
      <c r="I97" s="117"/>
      <c r="J97" s="117"/>
      <c r="K97" s="117"/>
      <c r="L97" s="117"/>
      <c r="M97" s="119"/>
      <c r="N97" s="119"/>
      <c r="O97" s="119"/>
    </row>
    <row r="98" spans="1:15" ht="25" customHeight="1" x14ac:dyDescent="0.35">
      <c r="A98" s="111"/>
      <c r="B98" s="111"/>
      <c r="C98" s="111"/>
      <c r="D98" s="111"/>
      <c r="E98" s="111"/>
      <c r="F98" s="112"/>
      <c r="G98" s="112"/>
      <c r="H98" s="112"/>
      <c r="I98" s="117"/>
      <c r="J98" s="117"/>
      <c r="K98" s="117"/>
      <c r="L98" s="117"/>
      <c r="M98" s="119"/>
      <c r="N98" s="119"/>
      <c r="O98" s="119"/>
    </row>
    <row r="99" spans="1:15" ht="25" customHeight="1" x14ac:dyDescent="0.35">
      <c r="A99" s="111"/>
      <c r="B99" s="111"/>
      <c r="C99" s="111"/>
      <c r="D99" s="111"/>
      <c r="E99" s="111"/>
      <c r="F99" s="112"/>
      <c r="G99" s="112"/>
      <c r="H99" s="112"/>
      <c r="I99" s="117"/>
      <c r="J99" s="117"/>
      <c r="K99" s="117"/>
      <c r="L99" s="117"/>
      <c r="M99" s="119"/>
      <c r="N99" s="119"/>
      <c r="O99" s="119"/>
    </row>
    <row r="100" spans="1:15" ht="25" customHeight="1" x14ac:dyDescent="0.35">
      <c r="A100" s="111"/>
      <c r="B100" s="111"/>
      <c r="C100" s="111"/>
      <c r="D100" s="111"/>
      <c r="E100" s="111"/>
      <c r="F100" s="112"/>
      <c r="G100" s="112"/>
      <c r="H100" s="112"/>
      <c r="I100" s="117"/>
      <c r="J100" s="117"/>
      <c r="K100" s="117"/>
      <c r="L100" s="117"/>
      <c r="M100" s="119"/>
      <c r="N100" s="119"/>
      <c r="O100" s="119"/>
    </row>
    <row r="101" spans="1:15" ht="25" customHeight="1" x14ac:dyDescent="0.35">
      <c r="A101" s="111"/>
      <c r="B101" s="111"/>
      <c r="C101" s="111"/>
      <c r="D101" s="111"/>
      <c r="E101" s="111"/>
      <c r="F101" s="112"/>
      <c r="G101" s="112"/>
      <c r="H101" s="112"/>
      <c r="I101" s="117"/>
      <c r="J101" s="117"/>
      <c r="K101" s="117"/>
      <c r="L101" s="117"/>
      <c r="M101" s="119"/>
      <c r="N101" s="119"/>
      <c r="O101" s="119"/>
    </row>
    <row r="102" spans="1:15" ht="25" customHeight="1" x14ac:dyDescent="0.35">
      <c r="A102" s="111"/>
      <c r="B102" s="111"/>
      <c r="C102" s="111"/>
      <c r="D102" s="111"/>
      <c r="E102" s="111"/>
      <c r="F102" s="112"/>
      <c r="G102" s="112"/>
      <c r="H102" s="112"/>
      <c r="I102" s="117"/>
      <c r="J102" s="117"/>
      <c r="K102" s="117"/>
      <c r="L102" s="117"/>
      <c r="M102" s="119"/>
      <c r="N102" s="119"/>
      <c r="O102" s="119"/>
    </row>
    <row r="103" spans="1:15" ht="25" customHeight="1" x14ac:dyDescent="0.35">
      <c r="A103" s="111"/>
      <c r="B103" s="111"/>
      <c r="C103" s="111"/>
      <c r="D103" s="111"/>
      <c r="E103" s="111"/>
      <c r="F103" s="112"/>
      <c r="G103" s="112"/>
      <c r="H103" s="112"/>
      <c r="I103" s="117"/>
      <c r="J103" s="117"/>
      <c r="K103" s="117"/>
      <c r="L103" s="117"/>
      <c r="M103" s="119"/>
      <c r="N103" s="119"/>
      <c r="O103" s="119"/>
    </row>
    <row r="104" spans="1:15" ht="25" customHeight="1" x14ac:dyDescent="0.35">
      <c r="A104" s="111"/>
      <c r="B104" s="111"/>
      <c r="C104" s="111"/>
      <c r="D104" s="111"/>
      <c r="E104" s="111"/>
      <c r="F104" s="112"/>
      <c r="G104" s="112"/>
      <c r="H104" s="112"/>
      <c r="I104" s="117"/>
      <c r="J104" s="117"/>
      <c r="K104" s="117"/>
      <c r="L104" s="117"/>
      <c r="M104" s="119"/>
      <c r="N104" s="119"/>
      <c r="O104" s="119"/>
    </row>
    <row r="105" spans="1:15" ht="25" customHeight="1" x14ac:dyDescent="0.35">
      <c r="A105" s="111"/>
      <c r="B105" s="111"/>
      <c r="C105" s="111"/>
      <c r="D105" s="111"/>
      <c r="E105" s="111"/>
      <c r="F105" s="112"/>
      <c r="G105" s="112"/>
      <c r="H105" s="112"/>
      <c r="I105" s="117"/>
      <c r="J105" s="117"/>
      <c r="K105" s="117"/>
      <c r="L105" s="117"/>
      <c r="M105" s="119"/>
      <c r="N105" s="119"/>
      <c r="O105" s="119"/>
    </row>
    <row r="106" spans="1:15" ht="25" customHeight="1" x14ac:dyDescent="0.35">
      <c r="A106" s="111"/>
      <c r="B106" s="111"/>
      <c r="C106" s="111"/>
      <c r="D106" s="111"/>
      <c r="E106" s="111"/>
      <c r="F106" s="112"/>
      <c r="G106" s="112"/>
      <c r="H106" s="112"/>
      <c r="I106" s="117"/>
      <c r="J106" s="117"/>
      <c r="K106" s="117"/>
      <c r="L106" s="117"/>
      <c r="M106" s="119"/>
      <c r="N106" s="119"/>
      <c r="O106" s="119"/>
    </row>
    <row r="107" spans="1:15" ht="25" customHeight="1" x14ac:dyDescent="0.35">
      <c r="A107" s="111"/>
      <c r="B107" s="111"/>
      <c r="C107" s="111"/>
      <c r="D107" s="111"/>
      <c r="E107" s="111"/>
      <c r="F107" s="112"/>
      <c r="G107" s="112"/>
      <c r="H107" s="112"/>
      <c r="I107" s="117"/>
      <c r="J107" s="117"/>
      <c r="K107" s="117"/>
      <c r="L107" s="117"/>
      <c r="M107" s="119"/>
      <c r="N107" s="119"/>
      <c r="O107" s="119"/>
    </row>
    <row r="108" spans="1:15" ht="25" customHeight="1" x14ac:dyDescent="0.35">
      <c r="A108" s="111"/>
      <c r="B108" s="111"/>
      <c r="C108" s="111"/>
      <c r="D108" s="111"/>
      <c r="E108" s="111"/>
      <c r="F108" s="112"/>
      <c r="G108" s="112"/>
      <c r="H108" s="112"/>
      <c r="I108" s="117"/>
      <c r="J108" s="117"/>
      <c r="K108" s="117"/>
      <c r="L108" s="117"/>
      <c r="M108" s="119"/>
      <c r="N108" s="119"/>
      <c r="O108" s="119"/>
    </row>
    <row r="109" spans="1:15" ht="25" customHeight="1" x14ac:dyDescent="0.35">
      <c r="A109" s="111"/>
      <c r="B109" s="111"/>
      <c r="C109" s="111"/>
      <c r="D109" s="111"/>
      <c r="E109" s="111"/>
      <c r="F109" s="112"/>
      <c r="G109" s="112"/>
      <c r="H109" s="112"/>
      <c r="I109" s="117"/>
      <c r="J109" s="117"/>
      <c r="K109" s="117"/>
      <c r="L109" s="117"/>
      <c r="M109" s="119"/>
      <c r="N109" s="119"/>
      <c r="O109" s="119"/>
    </row>
    <row r="110" spans="1:15" ht="25" customHeight="1" x14ac:dyDescent="0.35">
      <c r="A110" s="111"/>
      <c r="B110" s="111"/>
      <c r="C110" s="111"/>
      <c r="D110" s="111"/>
      <c r="E110" s="111"/>
      <c r="F110" s="112"/>
      <c r="G110" s="112"/>
      <c r="H110" s="112"/>
      <c r="I110" s="117"/>
      <c r="J110" s="117"/>
      <c r="K110" s="117"/>
      <c r="L110" s="117"/>
      <c r="M110" s="119"/>
      <c r="N110" s="119"/>
      <c r="O110" s="119"/>
    </row>
    <row r="111" spans="1:15" ht="25" customHeight="1" x14ac:dyDescent="0.35">
      <c r="A111" s="111"/>
      <c r="B111" s="111"/>
      <c r="C111" s="111"/>
      <c r="D111" s="111"/>
      <c r="E111" s="111"/>
      <c r="F111" s="112"/>
      <c r="G111" s="112"/>
      <c r="H111" s="112"/>
      <c r="I111" s="117"/>
      <c r="J111" s="117"/>
      <c r="K111" s="117"/>
      <c r="L111" s="117"/>
      <c r="M111" s="119"/>
      <c r="N111" s="119"/>
      <c r="O111" s="119"/>
    </row>
    <row r="112" spans="1:15" ht="25" customHeight="1" x14ac:dyDescent="0.35">
      <c r="A112" s="111"/>
      <c r="B112" s="111"/>
      <c r="C112" s="111"/>
      <c r="D112" s="111"/>
      <c r="E112" s="111"/>
      <c r="F112" s="112"/>
      <c r="G112" s="112"/>
      <c r="H112" s="112"/>
      <c r="I112" s="117"/>
      <c r="J112" s="117"/>
      <c r="K112" s="117"/>
      <c r="L112" s="117"/>
      <c r="M112" s="119"/>
      <c r="N112" s="119"/>
      <c r="O112" s="119"/>
    </row>
    <row r="113" spans="1:15" ht="25" customHeight="1" x14ac:dyDescent="0.35">
      <c r="A113" s="111"/>
      <c r="B113" s="111"/>
      <c r="C113" s="111"/>
      <c r="D113" s="111"/>
      <c r="E113" s="111"/>
      <c r="F113" s="112"/>
      <c r="G113" s="112"/>
      <c r="H113" s="112"/>
      <c r="I113" s="117"/>
      <c r="J113" s="117"/>
      <c r="K113" s="117"/>
      <c r="L113" s="117"/>
      <c r="M113" s="119"/>
      <c r="N113" s="119"/>
      <c r="O113" s="119"/>
    </row>
    <row r="114" spans="1:15" ht="25" customHeight="1" x14ac:dyDescent="0.35">
      <c r="A114" s="111"/>
      <c r="B114" s="111"/>
      <c r="C114" s="111"/>
      <c r="D114" s="111"/>
      <c r="E114" s="111"/>
      <c r="F114" s="112"/>
      <c r="G114" s="112"/>
      <c r="H114" s="112"/>
      <c r="I114" s="117"/>
      <c r="J114" s="117"/>
      <c r="K114" s="117"/>
      <c r="L114" s="117"/>
      <c r="M114" s="119"/>
      <c r="N114" s="119"/>
      <c r="O114" s="119"/>
    </row>
    <row r="115" spans="1:15" ht="25" customHeight="1" x14ac:dyDescent="0.35">
      <c r="A115" s="111"/>
      <c r="B115" s="111"/>
      <c r="C115" s="111"/>
      <c r="D115" s="111"/>
      <c r="E115" s="111"/>
      <c r="F115" s="112"/>
      <c r="G115" s="112"/>
      <c r="H115" s="112"/>
      <c r="I115" s="117"/>
      <c r="J115" s="117"/>
      <c r="K115" s="117"/>
      <c r="L115" s="117"/>
      <c r="M115" s="119"/>
      <c r="N115" s="119"/>
      <c r="O115" s="119"/>
    </row>
    <row r="116" spans="1:15" ht="25" customHeight="1" x14ac:dyDescent="0.35">
      <c r="A116" s="111"/>
      <c r="B116" s="111"/>
      <c r="C116" s="111"/>
      <c r="D116" s="111"/>
      <c r="E116" s="111"/>
      <c r="F116" s="112"/>
      <c r="G116" s="112"/>
      <c r="H116" s="112"/>
      <c r="I116" s="117"/>
      <c r="J116" s="117"/>
      <c r="K116" s="117"/>
      <c r="L116" s="117"/>
      <c r="M116" s="119"/>
      <c r="N116" s="119"/>
      <c r="O116" s="119"/>
    </row>
    <row r="117" spans="1:15" ht="25" customHeight="1" x14ac:dyDescent="0.35">
      <c r="A117" s="111"/>
      <c r="B117" s="111"/>
      <c r="C117" s="111"/>
      <c r="D117" s="111"/>
      <c r="E117" s="111"/>
      <c r="F117" s="112"/>
      <c r="G117" s="112"/>
      <c r="H117" s="112"/>
      <c r="I117" s="117"/>
      <c r="J117" s="117"/>
      <c r="K117" s="117"/>
      <c r="L117" s="117"/>
      <c r="M117" s="119"/>
      <c r="N117" s="119"/>
      <c r="O117" s="119"/>
    </row>
    <row r="118" spans="1:15" ht="25" customHeight="1" x14ac:dyDescent="0.35">
      <c r="A118" s="111"/>
      <c r="B118" s="111"/>
      <c r="C118" s="111"/>
      <c r="D118" s="111"/>
      <c r="E118" s="111"/>
      <c r="F118" s="112"/>
      <c r="G118" s="112"/>
      <c r="H118" s="112"/>
      <c r="I118" s="117"/>
      <c r="J118" s="117"/>
      <c r="K118" s="117"/>
      <c r="L118" s="117"/>
      <c r="M118" s="119"/>
      <c r="N118" s="119"/>
      <c r="O118" s="119"/>
    </row>
    <row r="119" spans="1:15" ht="25" customHeight="1" x14ac:dyDescent="0.35">
      <c r="A119" s="111"/>
      <c r="B119" s="111"/>
      <c r="C119" s="111"/>
      <c r="D119" s="111"/>
      <c r="E119" s="111"/>
      <c r="F119" s="112"/>
      <c r="G119" s="112"/>
      <c r="H119" s="112"/>
      <c r="I119" s="117"/>
      <c r="J119" s="117"/>
      <c r="K119" s="117"/>
      <c r="L119" s="117"/>
      <c r="M119" s="119"/>
      <c r="N119" s="119"/>
      <c r="O119" s="119"/>
    </row>
    <row r="120" spans="1:15" ht="25" customHeight="1" x14ac:dyDescent="0.35">
      <c r="A120" s="111"/>
      <c r="B120" s="111"/>
      <c r="C120" s="111"/>
      <c r="D120" s="111"/>
      <c r="E120" s="111"/>
      <c r="F120" s="112"/>
      <c r="G120" s="112"/>
      <c r="H120" s="112"/>
      <c r="I120" s="117"/>
      <c r="J120" s="117"/>
      <c r="K120" s="117"/>
      <c r="L120" s="117"/>
      <c r="M120" s="119"/>
      <c r="N120" s="119"/>
      <c r="O120" s="119"/>
    </row>
    <row r="121" spans="1:15" ht="25" customHeight="1" x14ac:dyDescent="0.35">
      <c r="A121" s="111"/>
      <c r="B121" s="111"/>
      <c r="C121" s="111"/>
      <c r="D121" s="111"/>
      <c r="E121" s="111"/>
      <c r="F121" s="112"/>
      <c r="G121" s="112"/>
      <c r="H121" s="112"/>
      <c r="I121" s="117"/>
      <c r="J121" s="117"/>
      <c r="K121" s="117"/>
      <c r="L121" s="117"/>
      <c r="M121" s="119"/>
      <c r="N121" s="119"/>
      <c r="O121" s="119"/>
    </row>
    <row r="122" spans="1:15" ht="25" customHeight="1" x14ac:dyDescent="0.35">
      <c r="A122" s="111"/>
      <c r="B122" s="111"/>
      <c r="C122" s="111"/>
      <c r="D122" s="111"/>
      <c r="E122" s="111"/>
      <c r="F122" s="112"/>
      <c r="G122" s="112"/>
      <c r="H122" s="112"/>
      <c r="I122" s="117"/>
      <c r="J122" s="117"/>
      <c r="K122" s="117"/>
      <c r="L122" s="117"/>
      <c r="M122" s="119"/>
      <c r="N122" s="119"/>
      <c r="O122" s="119"/>
    </row>
    <row r="123" spans="1:15" ht="25" customHeight="1" x14ac:dyDescent="0.35">
      <c r="A123" s="111"/>
      <c r="B123" s="111"/>
      <c r="C123" s="111"/>
      <c r="D123" s="111"/>
      <c r="E123" s="111"/>
      <c r="F123" s="112"/>
      <c r="G123" s="112"/>
      <c r="H123" s="112"/>
      <c r="I123" s="117"/>
      <c r="J123" s="117"/>
      <c r="K123" s="117"/>
      <c r="L123" s="117"/>
      <c r="M123" s="119"/>
      <c r="N123" s="119"/>
      <c r="O123" s="119"/>
    </row>
    <row r="124" spans="1:15" ht="25" customHeight="1" x14ac:dyDescent="0.35">
      <c r="A124" s="111"/>
      <c r="B124" s="111"/>
      <c r="C124" s="111"/>
      <c r="D124" s="111"/>
      <c r="E124" s="111"/>
      <c r="F124" s="112"/>
      <c r="G124" s="112"/>
      <c r="H124" s="112"/>
      <c r="I124" s="117"/>
      <c r="J124" s="117"/>
      <c r="K124" s="117"/>
      <c r="L124" s="117"/>
      <c r="M124" s="119"/>
      <c r="N124" s="119"/>
      <c r="O124" s="119"/>
    </row>
    <row r="125" spans="1:15" ht="25" customHeight="1" x14ac:dyDescent="0.35">
      <c r="A125" s="111"/>
      <c r="B125" s="111"/>
      <c r="C125" s="111"/>
      <c r="D125" s="111"/>
      <c r="E125" s="111"/>
      <c r="F125" s="112"/>
      <c r="G125" s="112"/>
      <c r="H125" s="112"/>
      <c r="I125" s="117"/>
      <c r="J125" s="117"/>
      <c r="K125" s="117"/>
      <c r="L125" s="117"/>
      <c r="M125" s="119"/>
      <c r="N125" s="119"/>
      <c r="O125" s="119"/>
    </row>
    <row r="126" spans="1:15" ht="25" customHeight="1" x14ac:dyDescent="0.35">
      <c r="A126" s="111"/>
      <c r="B126" s="111"/>
      <c r="C126" s="111"/>
      <c r="D126" s="111"/>
      <c r="E126" s="111"/>
      <c r="F126" s="112"/>
      <c r="G126" s="112"/>
      <c r="H126" s="112"/>
      <c r="I126" s="117"/>
      <c r="J126" s="117"/>
      <c r="K126" s="117"/>
      <c r="L126" s="117"/>
      <c r="M126" s="119"/>
      <c r="N126" s="119"/>
      <c r="O126" s="119"/>
    </row>
    <row r="127" spans="1:15" ht="25" customHeight="1" x14ac:dyDescent="0.35">
      <c r="A127" s="111"/>
      <c r="B127" s="111"/>
      <c r="C127" s="111"/>
      <c r="D127" s="111"/>
      <c r="E127" s="111"/>
      <c r="F127" s="112"/>
      <c r="G127" s="112"/>
      <c r="H127" s="112"/>
      <c r="I127" s="117"/>
      <c r="J127" s="117"/>
      <c r="K127" s="117"/>
      <c r="L127" s="117"/>
      <c r="M127" s="119"/>
      <c r="N127" s="119"/>
      <c r="O127" s="119"/>
    </row>
    <row r="128" spans="1:15" ht="25" customHeight="1" x14ac:dyDescent="0.35">
      <c r="A128" s="111"/>
      <c r="B128" s="111"/>
      <c r="C128" s="111"/>
      <c r="D128" s="111"/>
      <c r="E128" s="111"/>
      <c r="F128" s="112"/>
      <c r="G128" s="112"/>
      <c r="H128" s="112"/>
      <c r="I128" s="117"/>
      <c r="J128" s="117"/>
      <c r="K128" s="117"/>
      <c r="L128" s="117"/>
      <c r="M128" s="119"/>
      <c r="N128" s="119"/>
      <c r="O128" s="119"/>
    </row>
    <row r="129" spans="1:15" ht="25" customHeight="1" x14ac:dyDescent="0.35">
      <c r="A129" s="111"/>
      <c r="B129" s="111"/>
      <c r="C129" s="111"/>
      <c r="D129" s="111"/>
      <c r="E129" s="111"/>
      <c r="F129" s="112"/>
      <c r="G129" s="112"/>
      <c r="H129" s="112"/>
      <c r="I129" s="117"/>
      <c r="J129" s="117"/>
      <c r="K129" s="117"/>
      <c r="L129" s="117"/>
      <c r="M129" s="119"/>
      <c r="N129" s="119"/>
      <c r="O129" s="119"/>
    </row>
    <row r="130" spans="1:15" ht="25" customHeight="1" x14ac:dyDescent="0.35">
      <c r="A130" s="111"/>
      <c r="B130" s="111"/>
      <c r="C130" s="111"/>
      <c r="D130" s="111"/>
      <c r="E130" s="111"/>
      <c r="F130" s="112"/>
      <c r="G130" s="112"/>
      <c r="H130" s="112"/>
      <c r="I130" s="117"/>
      <c r="J130" s="117"/>
      <c r="K130" s="117"/>
      <c r="L130" s="117"/>
      <c r="M130" s="119"/>
      <c r="N130" s="119"/>
      <c r="O130" s="119"/>
    </row>
    <row r="131" spans="1:15" ht="25" customHeight="1" x14ac:dyDescent="0.35">
      <c r="A131" s="111"/>
      <c r="B131" s="111"/>
      <c r="C131" s="111"/>
      <c r="D131" s="111"/>
      <c r="E131" s="111"/>
      <c r="F131" s="112"/>
      <c r="G131" s="112"/>
      <c r="H131" s="112"/>
      <c r="I131" s="117"/>
      <c r="J131" s="117"/>
      <c r="K131" s="117"/>
      <c r="L131" s="117"/>
      <c r="M131" s="119"/>
      <c r="N131" s="119"/>
      <c r="O131" s="119"/>
    </row>
    <row r="132" spans="1:15" ht="25" customHeight="1" x14ac:dyDescent="0.35">
      <c r="A132" s="111"/>
      <c r="B132" s="111"/>
      <c r="C132" s="111"/>
      <c r="D132" s="111"/>
      <c r="E132" s="111"/>
      <c r="F132" s="112"/>
      <c r="G132" s="112"/>
      <c r="H132" s="112"/>
      <c r="I132" s="117"/>
      <c r="J132" s="117"/>
      <c r="K132" s="117"/>
      <c r="L132" s="117"/>
      <c r="M132" s="119"/>
      <c r="N132" s="119"/>
      <c r="O132" s="119"/>
    </row>
    <row r="133" spans="1:15" ht="25" customHeight="1" x14ac:dyDescent="0.35">
      <c r="A133" s="111"/>
      <c r="B133" s="111"/>
      <c r="C133" s="111"/>
      <c r="D133" s="111"/>
      <c r="E133" s="111"/>
      <c r="F133" s="112"/>
      <c r="G133" s="112"/>
      <c r="H133" s="112"/>
      <c r="I133" s="117"/>
      <c r="J133" s="117"/>
      <c r="K133" s="117"/>
      <c r="L133" s="117"/>
      <c r="M133" s="119"/>
      <c r="N133" s="119"/>
      <c r="O133" s="119"/>
    </row>
    <row r="134" spans="1:15" ht="25" customHeight="1" x14ac:dyDescent="0.35">
      <c r="A134" s="111"/>
      <c r="B134" s="111"/>
      <c r="C134" s="111"/>
      <c r="D134" s="111"/>
      <c r="E134" s="111"/>
      <c r="F134" s="112"/>
      <c r="G134" s="112"/>
      <c r="H134" s="112"/>
      <c r="I134" s="117"/>
      <c r="J134" s="117"/>
      <c r="K134" s="117"/>
      <c r="L134" s="117"/>
      <c r="M134" s="119"/>
      <c r="N134" s="119"/>
      <c r="O134" s="119"/>
    </row>
    <row r="135" spans="1:15" ht="25" customHeight="1" x14ac:dyDescent="0.35">
      <c r="A135" s="111"/>
      <c r="B135" s="111"/>
      <c r="C135" s="111"/>
      <c r="D135" s="111"/>
      <c r="E135" s="111"/>
      <c r="F135" s="112"/>
      <c r="G135" s="112"/>
      <c r="H135" s="112"/>
      <c r="I135" s="117"/>
      <c r="J135" s="117"/>
      <c r="K135" s="117"/>
      <c r="L135" s="117"/>
      <c r="M135" s="119"/>
      <c r="N135" s="119"/>
      <c r="O135" s="119"/>
    </row>
    <row r="136" spans="1:15" ht="25" customHeight="1" x14ac:dyDescent="0.35">
      <c r="A136" s="111"/>
      <c r="B136" s="111"/>
      <c r="C136" s="111"/>
      <c r="D136" s="111"/>
      <c r="E136" s="111"/>
      <c r="F136" s="112"/>
      <c r="G136" s="112"/>
      <c r="H136" s="112"/>
      <c r="I136" s="117"/>
      <c r="J136" s="117"/>
      <c r="K136" s="117"/>
      <c r="L136" s="117"/>
      <c r="M136" s="119"/>
      <c r="N136" s="119"/>
      <c r="O136" s="119"/>
    </row>
    <row r="137" spans="1:15" ht="25" customHeight="1" x14ac:dyDescent="0.35">
      <c r="A137" s="111"/>
      <c r="B137" s="111"/>
      <c r="C137" s="111"/>
      <c r="D137" s="111"/>
      <c r="E137" s="111"/>
      <c r="F137" s="112"/>
      <c r="G137" s="112"/>
      <c r="H137" s="112"/>
      <c r="I137" s="117"/>
      <c r="J137" s="117"/>
      <c r="K137" s="117"/>
      <c r="L137" s="117"/>
      <c r="M137" s="119"/>
      <c r="N137" s="119"/>
      <c r="O137" s="119"/>
    </row>
    <row r="138" spans="1:15" ht="25" customHeight="1" x14ac:dyDescent="0.35">
      <c r="A138" s="111"/>
      <c r="B138" s="111"/>
      <c r="C138" s="111"/>
      <c r="D138" s="111"/>
      <c r="E138" s="111"/>
      <c r="F138" s="112"/>
      <c r="G138" s="112"/>
      <c r="H138" s="112"/>
      <c r="I138" s="117"/>
      <c r="J138" s="117"/>
      <c r="K138" s="117"/>
      <c r="L138" s="117"/>
      <c r="M138" s="119"/>
      <c r="N138" s="119"/>
      <c r="O138" s="119"/>
    </row>
    <row r="139" spans="1:15" ht="25" customHeight="1" x14ac:dyDescent="0.35">
      <c r="A139" s="111"/>
      <c r="B139" s="111"/>
      <c r="C139" s="111"/>
      <c r="D139" s="111"/>
      <c r="E139" s="111"/>
      <c r="F139" s="112"/>
      <c r="G139" s="112"/>
      <c r="H139" s="112"/>
      <c r="I139" s="117"/>
      <c r="J139" s="117"/>
      <c r="K139" s="117"/>
      <c r="L139" s="117"/>
      <c r="M139" s="119"/>
      <c r="N139" s="119"/>
      <c r="O139" s="119"/>
    </row>
    <row r="140" spans="1:15" ht="25" customHeight="1" x14ac:dyDescent="0.35">
      <c r="A140" s="111"/>
      <c r="B140" s="111"/>
      <c r="C140" s="111"/>
      <c r="D140" s="111"/>
      <c r="E140" s="111"/>
      <c r="F140" s="112"/>
      <c r="G140" s="112"/>
      <c r="H140" s="112"/>
      <c r="I140" s="117"/>
      <c r="J140" s="117"/>
      <c r="K140" s="117"/>
      <c r="L140" s="117"/>
      <c r="M140" s="119"/>
      <c r="N140" s="119"/>
      <c r="O140" s="119"/>
    </row>
    <row r="141" spans="1:15" ht="25" customHeight="1" x14ac:dyDescent="0.35">
      <c r="A141" s="111"/>
      <c r="B141" s="111"/>
      <c r="C141" s="111"/>
      <c r="D141" s="111"/>
      <c r="E141" s="111"/>
      <c r="F141" s="112"/>
      <c r="G141" s="112"/>
      <c r="H141" s="112"/>
      <c r="I141" s="117"/>
      <c r="J141" s="117"/>
      <c r="K141" s="117"/>
      <c r="L141" s="117"/>
      <c r="M141" s="119"/>
      <c r="N141" s="119"/>
      <c r="O141" s="119"/>
    </row>
    <row r="142" spans="1:15" ht="25" customHeight="1" x14ac:dyDescent="0.35">
      <c r="A142" s="111"/>
      <c r="B142" s="111"/>
      <c r="C142" s="111"/>
      <c r="D142" s="111"/>
      <c r="E142" s="111"/>
      <c r="F142" s="112"/>
      <c r="G142" s="112"/>
      <c r="H142" s="112"/>
      <c r="I142" s="117"/>
      <c r="J142" s="117"/>
      <c r="K142" s="117"/>
      <c r="L142" s="117"/>
      <c r="M142" s="119"/>
      <c r="N142" s="119"/>
      <c r="O142" s="119"/>
    </row>
    <row r="143" spans="1:15" ht="25" customHeight="1" x14ac:dyDescent="0.35">
      <c r="A143" s="111"/>
      <c r="B143" s="111"/>
      <c r="C143" s="111"/>
      <c r="D143" s="111"/>
      <c r="E143" s="111"/>
      <c r="F143" s="112"/>
      <c r="G143" s="112"/>
      <c r="H143" s="112"/>
      <c r="I143" s="117"/>
      <c r="J143" s="117"/>
      <c r="K143" s="117"/>
      <c r="L143" s="117"/>
      <c r="M143" s="119"/>
      <c r="N143" s="119"/>
      <c r="O143" s="119"/>
    </row>
    <row r="144" spans="1:15" ht="25" customHeight="1" x14ac:dyDescent="0.35">
      <c r="A144" s="111"/>
      <c r="B144" s="111"/>
      <c r="C144" s="111"/>
      <c r="D144" s="111"/>
      <c r="E144" s="111"/>
      <c r="F144" s="112"/>
      <c r="G144" s="112"/>
      <c r="H144" s="112"/>
      <c r="I144" s="117"/>
      <c r="J144" s="117"/>
      <c r="K144" s="117"/>
      <c r="L144" s="117"/>
      <c r="M144" s="119"/>
      <c r="N144" s="119"/>
      <c r="O144" s="119"/>
    </row>
    <row r="145" spans="1:15" ht="25" customHeight="1" x14ac:dyDescent="0.35">
      <c r="A145" s="111"/>
      <c r="B145" s="111"/>
      <c r="C145" s="111"/>
      <c r="D145" s="111"/>
      <c r="E145" s="111"/>
      <c r="F145" s="112"/>
      <c r="G145" s="112"/>
      <c r="H145" s="112"/>
      <c r="I145" s="117"/>
      <c r="J145" s="117"/>
      <c r="K145" s="117"/>
      <c r="L145" s="117"/>
      <c r="M145" s="119"/>
      <c r="N145" s="119"/>
      <c r="O145" s="119"/>
    </row>
    <row r="146" spans="1:15" ht="25" customHeight="1" x14ac:dyDescent="0.35">
      <c r="A146" s="111"/>
      <c r="B146" s="111"/>
      <c r="C146" s="111"/>
      <c r="D146" s="111"/>
      <c r="E146" s="111"/>
      <c r="F146" s="112"/>
      <c r="G146" s="112"/>
      <c r="H146" s="112"/>
      <c r="I146" s="117"/>
      <c r="J146" s="117"/>
      <c r="K146" s="117"/>
      <c r="L146" s="117"/>
      <c r="M146" s="119"/>
      <c r="N146" s="119"/>
      <c r="O146" s="119"/>
    </row>
    <row r="147" spans="1:15" ht="25" customHeight="1" x14ac:dyDescent="0.35">
      <c r="A147" s="111"/>
      <c r="B147" s="111"/>
      <c r="C147" s="111"/>
      <c r="D147" s="111"/>
      <c r="E147" s="111"/>
      <c r="F147" s="112"/>
      <c r="G147" s="112"/>
      <c r="H147" s="112"/>
      <c r="I147" s="117"/>
      <c r="J147" s="117"/>
      <c r="K147" s="117"/>
      <c r="L147" s="117"/>
      <c r="M147" s="119"/>
      <c r="N147" s="119"/>
      <c r="O147" s="119"/>
    </row>
    <row r="148" spans="1:15" ht="25" customHeight="1" x14ac:dyDescent="0.35">
      <c r="A148" s="111"/>
      <c r="B148" s="111"/>
      <c r="C148" s="111"/>
      <c r="D148" s="111"/>
      <c r="E148" s="111"/>
      <c r="F148" s="112"/>
      <c r="G148" s="112"/>
      <c r="H148" s="112"/>
      <c r="I148" s="117"/>
      <c r="J148" s="117"/>
      <c r="K148" s="117"/>
      <c r="L148" s="117"/>
      <c r="M148" s="119"/>
      <c r="N148" s="119"/>
      <c r="O148" s="119"/>
    </row>
    <row r="149" spans="1:15" ht="25" customHeight="1" x14ac:dyDescent="0.35">
      <c r="A149" s="111"/>
      <c r="B149" s="111"/>
      <c r="C149" s="111"/>
      <c r="D149" s="111"/>
      <c r="E149" s="111"/>
      <c r="F149" s="112"/>
      <c r="G149" s="112"/>
      <c r="H149" s="112"/>
      <c r="I149" s="117"/>
      <c r="J149" s="117"/>
      <c r="K149" s="117"/>
      <c r="L149" s="117"/>
      <c r="M149" s="119"/>
      <c r="N149" s="119"/>
      <c r="O149" s="119"/>
    </row>
    <row r="150" spans="1:15" ht="25" customHeight="1" x14ac:dyDescent="0.35">
      <c r="A150" s="111"/>
      <c r="B150" s="111"/>
      <c r="C150" s="111"/>
      <c r="D150" s="111"/>
      <c r="E150" s="111"/>
      <c r="F150" s="112"/>
      <c r="G150" s="112"/>
      <c r="H150" s="112"/>
      <c r="I150" s="117"/>
      <c r="J150" s="117"/>
      <c r="K150" s="117"/>
      <c r="L150" s="117"/>
      <c r="M150" s="119"/>
      <c r="N150" s="119"/>
      <c r="O150" s="119"/>
    </row>
    <row r="151" spans="1:15" ht="25" customHeight="1" x14ac:dyDescent="0.35">
      <c r="A151" s="111"/>
      <c r="B151" s="111"/>
      <c r="C151" s="111"/>
      <c r="D151" s="111"/>
      <c r="E151" s="111"/>
      <c r="F151" s="112"/>
      <c r="G151" s="112"/>
      <c r="H151" s="112"/>
      <c r="I151" s="117"/>
      <c r="J151" s="117"/>
      <c r="K151" s="117"/>
      <c r="L151" s="117"/>
      <c r="M151" s="119"/>
      <c r="N151" s="119"/>
      <c r="O151" s="119"/>
    </row>
    <row r="152" spans="1:15" ht="25" customHeight="1" x14ac:dyDescent="0.35">
      <c r="A152" s="111"/>
      <c r="B152" s="111"/>
      <c r="C152" s="111"/>
      <c r="D152" s="111"/>
      <c r="E152" s="111"/>
      <c r="F152" s="112"/>
      <c r="G152" s="112"/>
      <c r="H152" s="112"/>
      <c r="I152" s="117"/>
      <c r="J152" s="117"/>
      <c r="K152" s="117"/>
      <c r="L152" s="117"/>
      <c r="M152" s="119"/>
      <c r="N152" s="119"/>
      <c r="O152" s="119"/>
    </row>
    <row r="153" spans="1:15" ht="25" customHeight="1" x14ac:dyDescent="0.35">
      <c r="A153" s="111"/>
      <c r="B153" s="111"/>
      <c r="C153" s="111"/>
      <c r="D153" s="111"/>
      <c r="E153" s="111"/>
      <c r="F153" s="112"/>
      <c r="G153" s="112"/>
      <c r="H153" s="112"/>
      <c r="I153" s="117"/>
      <c r="J153" s="117"/>
      <c r="K153" s="117"/>
      <c r="L153" s="117"/>
      <c r="M153" s="119"/>
      <c r="N153" s="119"/>
      <c r="O153" s="119"/>
    </row>
    <row r="154" spans="1:15" ht="25" customHeight="1" x14ac:dyDescent="0.35">
      <c r="A154" s="111"/>
      <c r="B154" s="111"/>
      <c r="C154" s="111"/>
      <c r="D154" s="111"/>
      <c r="E154" s="111"/>
      <c r="F154" s="112"/>
      <c r="G154" s="112"/>
      <c r="H154" s="112"/>
      <c r="I154" s="117"/>
      <c r="J154" s="117"/>
      <c r="K154" s="117"/>
      <c r="L154" s="117"/>
      <c r="M154" s="119"/>
      <c r="N154" s="119"/>
      <c r="O154" s="119"/>
    </row>
    <row r="155" spans="1:15" ht="25" customHeight="1" x14ac:dyDescent="0.35">
      <c r="A155" s="111"/>
      <c r="B155" s="111"/>
      <c r="C155" s="111"/>
      <c r="D155" s="111"/>
      <c r="E155" s="111"/>
      <c r="F155" s="112"/>
      <c r="G155" s="112"/>
      <c r="H155" s="112"/>
      <c r="I155" s="117"/>
      <c r="J155" s="117"/>
      <c r="K155" s="117"/>
      <c r="L155" s="117"/>
      <c r="M155" s="119"/>
      <c r="N155" s="119"/>
      <c r="O155" s="119"/>
    </row>
    <row r="156" spans="1:15" ht="25" customHeight="1" x14ac:dyDescent="0.35">
      <c r="A156" s="111"/>
      <c r="B156" s="111"/>
      <c r="C156" s="111"/>
      <c r="D156" s="111"/>
      <c r="E156" s="111"/>
      <c r="F156" s="112"/>
      <c r="G156" s="112"/>
      <c r="H156" s="112"/>
      <c r="I156" s="117"/>
      <c r="J156" s="117"/>
      <c r="K156" s="117"/>
      <c r="L156" s="117"/>
      <c r="M156" s="119"/>
      <c r="N156" s="119"/>
      <c r="O156" s="119"/>
    </row>
    <row r="157" spans="1:15" ht="25" customHeight="1" x14ac:dyDescent="0.35">
      <c r="A157" s="111"/>
      <c r="B157" s="111"/>
      <c r="C157" s="111"/>
      <c r="D157" s="111"/>
      <c r="E157" s="111"/>
      <c r="F157" s="112"/>
      <c r="G157" s="112"/>
      <c r="H157" s="112"/>
      <c r="I157" s="117"/>
      <c r="J157" s="117"/>
      <c r="K157" s="117"/>
      <c r="L157" s="117"/>
      <c r="M157" s="119"/>
      <c r="N157" s="119"/>
      <c r="O157" s="119"/>
    </row>
    <row r="158" spans="1:15" ht="25" customHeight="1" x14ac:dyDescent="0.35">
      <c r="A158" s="111"/>
      <c r="B158" s="111"/>
      <c r="C158" s="111"/>
      <c r="D158" s="111"/>
      <c r="E158" s="111"/>
      <c r="F158" s="112"/>
      <c r="G158" s="112"/>
      <c r="H158" s="112"/>
      <c r="I158" s="117"/>
      <c r="J158" s="117"/>
      <c r="K158" s="117"/>
      <c r="L158" s="117"/>
      <c r="M158" s="119"/>
      <c r="N158" s="119"/>
      <c r="O158" s="119"/>
    </row>
    <row r="159" spans="1:15" ht="25" customHeight="1" x14ac:dyDescent="0.35">
      <c r="A159" s="111"/>
      <c r="B159" s="111"/>
      <c r="C159" s="111"/>
      <c r="D159" s="111"/>
      <c r="E159" s="111"/>
      <c r="F159" s="112"/>
      <c r="G159" s="112"/>
      <c r="H159" s="112"/>
      <c r="I159" s="117"/>
      <c r="J159" s="117"/>
      <c r="K159" s="117"/>
      <c r="L159" s="117"/>
      <c r="M159" s="119"/>
      <c r="N159" s="119"/>
      <c r="O159" s="119"/>
    </row>
    <row r="160" spans="1:15" ht="25" customHeight="1" x14ac:dyDescent="0.35">
      <c r="A160" s="111"/>
      <c r="B160" s="111"/>
      <c r="C160" s="111"/>
      <c r="D160" s="111"/>
      <c r="E160" s="111"/>
      <c r="F160" s="112"/>
      <c r="G160" s="112"/>
      <c r="H160" s="112"/>
      <c r="I160" s="117"/>
      <c r="J160" s="117"/>
      <c r="K160" s="117"/>
      <c r="L160" s="117"/>
      <c r="M160" s="119"/>
      <c r="N160" s="119"/>
      <c r="O160" s="119"/>
    </row>
    <row r="161" spans="1:15" ht="25" customHeight="1" x14ac:dyDescent="0.35">
      <c r="A161" s="111"/>
      <c r="B161" s="111"/>
      <c r="C161" s="111"/>
      <c r="D161" s="111"/>
      <c r="E161" s="111"/>
      <c r="F161" s="112"/>
      <c r="G161" s="112"/>
      <c r="H161" s="112"/>
      <c r="I161" s="117"/>
      <c r="J161" s="117"/>
      <c r="K161" s="117"/>
      <c r="L161" s="117"/>
      <c r="M161" s="119"/>
      <c r="N161" s="119"/>
      <c r="O161" s="119"/>
    </row>
    <row r="162" spans="1:15" ht="25" customHeight="1" x14ac:dyDescent="0.35">
      <c r="A162" s="111"/>
      <c r="B162" s="111"/>
      <c r="C162" s="111"/>
      <c r="D162" s="111"/>
      <c r="E162" s="111"/>
      <c r="F162" s="112"/>
      <c r="G162" s="112"/>
      <c r="H162" s="112"/>
      <c r="I162" s="117"/>
      <c r="J162" s="117"/>
      <c r="K162" s="117"/>
      <c r="L162" s="117"/>
      <c r="M162" s="119"/>
      <c r="N162" s="119"/>
      <c r="O162" s="119"/>
    </row>
    <row r="163" spans="1:15" ht="25" customHeight="1" x14ac:dyDescent="0.35">
      <c r="A163" s="111"/>
      <c r="B163" s="111"/>
      <c r="C163" s="111"/>
      <c r="D163" s="111"/>
      <c r="E163" s="111"/>
      <c r="F163" s="112"/>
      <c r="G163" s="112"/>
      <c r="H163" s="112"/>
      <c r="I163" s="117"/>
      <c r="J163" s="117"/>
      <c r="K163" s="117"/>
      <c r="L163" s="117"/>
      <c r="M163" s="119"/>
      <c r="N163" s="119"/>
      <c r="O163" s="119"/>
    </row>
    <row r="164" spans="1:15" ht="25" customHeight="1" x14ac:dyDescent="0.35">
      <c r="A164" s="111"/>
      <c r="B164" s="111"/>
      <c r="C164" s="111"/>
      <c r="D164" s="111"/>
      <c r="E164" s="111"/>
      <c r="F164" s="112"/>
      <c r="G164" s="112"/>
      <c r="H164" s="112"/>
      <c r="I164" s="117"/>
      <c r="J164" s="117"/>
      <c r="K164" s="117"/>
      <c r="L164" s="117"/>
      <c r="M164" s="119"/>
      <c r="N164" s="119"/>
      <c r="O164" s="119"/>
    </row>
    <row r="165" spans="1:15" ht="25" customHeight="1" x14ac:dyDescent="0.35">
      <c r="A165" s="111"/>
      <c r="B165" s="111"/>
      <c r="C165" s="111"/>
      <c r="D165" s="111"/>
      <c r="E165" s="111"/>
      <c r="F165" s="112"/>
      <c r="G165" s="112"/>
      <c r="H165" s="112"/>
      <c r="I165" s="117"/>
      <c r="J165" s="117"/>
      <c r="K165" s="117"/>
      <c r="L165" s="117"/>
      <c r="M165" s="119"/>
      <c r="N165" s="119"/>
      <c r="O165" s="119"/>
    </row>
    <row r="166" spans="1:15" ht="25" customHeight="1" x14ac:dyDescent="0.35">
      <c r="A166" s="111"/>
      <c r="B166" s="111"/>
      <c r="C166" s="111"/>
      <c r="D166" s="111"/>
      <c r="E166" s="111"/>
      <c r="F166" s="112"/>
      <c r="G166" s="112"/>
      <c r="H166" s="112"/>
      <c r="I166" s="117"/>
      <c r="J166" s="117"/>
      <c r="K166" s="117"/>
      <c r="L166" s="117"/>
      <c r="M166" s="119"/>
      <c r="N166" s="119"/>
      <c r="O166" s="119"/>
    </row>
    <row r="167" spans="1:15" ht="25" customHeight="1" x14ac:dyDescent="0.35">
      <c r="A167" s="111"/>
      <c r="B167" s="111"/>
      <c r="C167" s="111"/>
      <c r="D167" s="111"/>
      <c r="E167" s="111"/>
      <c r="F167" s="112"/>
      <c r="G167" s="112"/>
      <c r="H167" s="112"/>
      <c r="I167" s="117"/>
      <c r="J167" s="117"/>
      <c r="K167" s="117"/>
      <c r="L167" s="117"/>
      <c r="M167" s="119"/>
      <c r="N167" s="119"/>
      <c r="O167" s="119"/>
    </row>
    <row r="168" spans="1:15" ht="25" customHeight="1" x14ac:dyDescent="0.35">
      <c r="A168" s="111"/>
      <c r="B168" s="111"/>
      <c r="C168" s="111"/>
      <c r="D168" s="111"/>
      <c r="E168" s="111"/>
      <c r="F168" s="112"/>
      <c r="G168" s="112"/>
      <c r="H168" s="112"/>
      <c r="I168" s="117"/>
      <c r="J168" s="117"/>
      <c r="K168" s="117"/>
      <c r="L168" s="117"/>
      <c r="M168" s="119"/>
      <c r="N168" s="119"/>
      <c r="O168" s="119"/>
    </row>
    <row r="169" spans="1:15" ht="25" customHeight="1" x14ac:dyDescent="0.35">
      <c r="A169" s="111"/>
      <c r="B169" s="111"/>
      <c r="C169" s="111"/>
      <c r="D169" s="111"/>
      <c r="E169" s="111"/>
      <c r="F169" s="112"/>
      <c r="G169" s="112"/>
      <c r="H169" s="112"/>
      <c r="I169" s="117"/>
      <c r="J169" s="117"/>
      <c r="K169" s="117"/>
      <c r="L169" s="117"/>
      <c r="M169" s="119"/>
      <c r="N169" s="119"/>
      <c r="O169" s="119"/>
    </row>
    <row r="170" spans="1:15" ht="25" customHeight="1" x14ac:dyDescent="0.35">
      <c r="A170" s="111"/>
      <c r="B170" s="111"/>
      <c r="C170" s="111"/>
      <c r="D170" s="111"/>
      <c r="E170" s="111"/>
      <c r="F170" s="112"/>
      <c r="G170" s="112"/>
      <c r="H170" s="112"/>
      <c r="I170" s="117"/>
      <c r="J170" s="117"/>
      <c r="K170" s="117"/>
      <c r="L170" s="117"/>
      <c r="M170" s="119"/>
      <c r="N170" s="119"/>
      <c r="O170" s="119"/>
    </row>
    <row r="171" spans="1:15" ht="25" customHeight="1" x14ac:dyDescent="0.35">
      <c r="A171" s="111"/>
      <c r="B171" s="111"/>
      <c r="C171" s="111"/>
      <c r="D171" s="111"/>
      <c r="E171" s="111"/>
      <c r="F171" s="112"/>
      <c r="G171" s="112"/>
      <c r="H171" s="112"/>
      <c r="I171" s="117"/>
      <c r="J171" s="117"/>
      <c r="K171" s="117"/>
      <c r="L171" s="117"/>
      <c r="M171" s="119"/>
      <c r="N171" s="119"/>
      <c r="O171" s="119"/>
    </row>
    <row r="172" spans="1:15" ht="25" customHeight="1" x14ac:dyDescent="0.35">
      <c r="A172" s="111"/>
      <c r="B172" s="111"/>
      <c r="C172" s="111"/>
      <c r="D172" s="111"/>
      <c r="E172" s="111"/>
      <c r="F172" s="112"/>
      <c r="G172" s="112"/>
      <c r="H172" s="112"/>
      <c r="I172" s="117"/>
      <c r="J172" s="117"/>
      <c r="K172" s="117"/>
      <c r="L172" s="117"/>
      <c r="M172" s="119"/>
      <c r="N172" s="119"/>
      <c r="O172" s="119"/>
    </row>
    <row r="173" spans="1:15" ht="25" customHeight="1" x14ac:dyDescent="0.35">
      <c r="A173" s="111"/>
      <c r="B173" s="111"/>
      <c r="C173" s="111"/>
      <c r="D173" s="111"/>
      <c r="E173" s="111"/>
      <c r="F173" s="112"/>
      <c r="G173" s="112"/>
      <c r="H173" s="112"/>
      <c r="I173" s="117"/>
      <c r="J173" s="117"/>
      <c r="K173" s="117"/>
      <c r="L173" s="117"/>
      <c r="M173" s="119"/>
      <c r="N173" s="119"/>
      <c r="O173" s="119"/>
    </row>
    <row r="174" spans="1:15" ht="25" customHeight="1" x14ac:dyDescent="0.35">
      <c r="A174" s="111"/>
      <c r="B174" s="111"/>
      <c r="C174" s="111"/>
      <c r="D174" s="111"/>
      <c r="E174" s="111"/>
      <c r="F174" s="112"/>
      <c r="G174" s="112"/>
      <c r="H174" s="112"/>
      <c r="I174" s="117"/>
      <c r="J174" s="117"/>
      <c r="K174" s="117"/>
      <c r="L174" s="117"/>
      <c r="M174" s="119"/>
      <c r="N174" s="119"/>
      <c r="O174" s="119"/>
    </row>
    <row r="175" spans="1:15" ht="25" customHeight="1" x14ac:dyDescent="0.35">
      <c r="A175" s="111"/>
      <c r="B175" s="111"/>
      <c r="C175" s="111"/>
      <c r="D175" s="111"/>
      <c r="E175" s="111"/>
      <c r="F175" s="112"/>
      <c r="G175" s="112"/>
      <c r="H175" s="112"/>
      <c r="I175" s="117"/>
      <c r="J175" s="117"/>
      <c r="K175" s="117"/>
      <c r="L175" s="117"/>
      <c r="M175" s="119"/>
      <c r="N175" s="119"/>
      <c r="O175" s="119"/>
    </row>
    <row r="176" spans="1:15" ht="25" customHeight="1" x14ac:dyDescent="0.35">
      <c r="A176" s="111"/>
      <c r="B176" s="111"/>
      <c r="C176" s="111"/>
      <c r="D176" s="111"/>
      <c r="E176" s="111"/>
      <c r="F176" s="112"/>
      <c r="G176" s="112"/>
      <c r="H176" s="112"/>
      <c r="I176" s="117"/>
      <c r="J176" s="117"/>
      <c r="K176" s="117"/>
      <c r="L176" s="117"/>
      <c r="M176" s="119"/>
      <c r="N176" s="119"/>
      <c r="O176" s="119"/>
    </row>
    <row r="177" spans="1:15" ht="25" customHeight="1" x14ac:dyDescent="0.35">
      <c r="A177" s="111"/>
      <c r="B177" s="111"/>
      <c r="C177" s="111"/>
      <c r="D177" s="111"/>
      <c r="E177" s="111"/>
      <c r="F177" s="112"/>
      <c r="G177" s="112"/>
      <c r="H177" s="112"/>
      <c r="I177" s="117"/>
      <c r="J177" s="117"/>
      <c r="K177" s="117"/>
      <c r="L177" s="117"/>
      <c r="M177" s="119"/>
      <c r="N177" s="119"/>
      <c r="O177" s="119"/>
    </row>
    <row r="178" spans="1:15" ht="25" customHeight="1" x14ac:dyDescent="0.35">
      <c r="A178" s="111"/>
      <c r="B178" s="111"/>
      <c r="C178" s="111"/>
      <c r="D178" s="111"/>
      <c r="E178" s="111"/>
      <c r="F178" s="112"/>
      <c r="G178" s="112"/>
      <c r="H178" s="112"/>
      <c r="I178" s="117"/>
      <c r="J178" s="117"/>
      <c r="K178" s="117"/>
      <c r="L178" s="117"/>
      <c r="M178" s="119"/>
      <c r="N178" s="119"/>
      <c r="O178" s="119"/>
    </row>
    <row r="179" spans="1:15" ht="25" customHeight="1" x14ac:dyDescent="0.35">
      <c r="A179" s="111"/>
      <c r="B179" s="111"/>
      <c r="C179" s="111"/>
      <c r="D179" s="111"/>
      <c r="E179" s="111"/>
      <c r="F179" s="112"/>
      <c r="G179" s="112"/>
      <c r="H179" s="112"/>
      <c r="I179" s="117"/>
      <c r="J179" s="117"/>
      <c r="K179" s="117"/>
      <c r="L179" s="117"/>
      <c r="M179" s="119"/>
      <c r="N179" s="119"/>
      <c r="O179" s="119"/>
    </row>
    <row r="180" spans="1:15" ht="25" customHeight="1" x14ac:dyDescent="0.35">
      <c r="A180" s="111"/>
      <c r="B180" s="111"/>
      <c r="C180" s="111"/>
      <c r="D180" s="111"/>
      <c r="E180" s="111"/>
      <c r="F180" s="112"/>
      <c r="G180" s="112"/>
      <c r="H180" s="112"/>
      <c r="I180" s="117"/>
      <c r="J180" s="117"/>
      <c r="K180" s="117"/>
      <c r="L180" s="117"/>
      <c r="M180" s="119"/>
      <c r="N180" s="119"/>
      <c r="O180" s="119"/>
    </row>
    <row r="181" spans="1:15" ht="25" customHeight="1" x14ac:dyDescent="0.35">
      <c r="A181" s="111"/>
      <c r="B181" s="111"/>
      <c r="C181" s="111"/>
      <c r="D181" s="111"/>
      <c r="E181" s="111"/>
      <c r="F181" s="112"/>
      <c r="G181" s="112"/>
      <c r="H181" s="112"/>
      <c r="I181" s="117"/>
      <c r="J181" s="117"/>
      <c r="K181" s="117"/>
      <c r="L181" s="117"/>
      <c r="M181" s="119"/>
      <c r="N181" s="119"/>
      <c r="O181" s="119"/>
    </row>
    <row r="182" spans="1:15" ht="25" customHeight="1" x14ac:dyDescent="0.35">
      <c r="A182" s="111"/>
      <c r="B182" s="111"/>
      <c r="C182" s="111"/>
      <c r="D182" s="111"/>
      <c r="E182" s="111"/>
      <c r="F182" s="112"/>
      <c r="G182" s="112"/>
      <c r="H182" s="112"/>
      <c r="I182" s="117"/>
      <c r="J182" s="117"/>
      <c r="K182" s="117"/>
      <c r="L182" s="117"/>
      <c r="M182" s="119"/>
      <c r="N182" s="119"/>
      <c r="O182" s="119"/>
    </row>
    <row r="183" spans="1:15" ht="25" customHeight="1" x14ac:dyDescent="0.35">
      <c r="A183" s="111"/>
      <c r="B183" s="111"/>
      <c r="C183" s="111"/>
      <c r="D183" s="111"/>
      <c r="E183" s="111"/>
      <c r="F183" s="112"/>
      <c r="G183" s="112"/>
      <c r="H183" s="112"/>
      <c r="I183" s="117"/>
      <c r="J183" s="117"/>
      <c r="K183" s="117"/>
      <c r="L183" s="117"/>
      <c r="M183" s="119"/>
      <c r="N183" s="119"/>
      <c r="O183" s="119"/>
    </row>
    <row r="184" spans="1:15" ht="25" customHeight="1" x14ac:dyDescent="0.35">
      <c r="A184" s="111"/>
      <c r="B184" s="111"/>
      <c r="C184" s="111"/>
      <c r="D184" s="111"/>
      <c r="E184" s="111"/>
      <c r="F184" s="112"/>
      <c r="G184" s="112"/>
      <c r="H184" s="112"/>
      <c r="I184" s="117"/>
      <c r="J184" s="117"/>
      <c r="K184" s="117"/>
      <c r="L184" s="117"/>
      <c r="M184" s="119"/>
      <c r="N184" s="119"/>
      <c r="O184" s="119"/>
    </row>
    <row r="185" spans="1:15" ht="25" customHeight="1" x14ac:dyDescent="0.35">
      <c r="A185" s="111"/>
      <c r="B185" s="111"/>
      <c r="C185" s="111"/>
      <c r="D185" s="111"/>
      <c r="E185" s="111"/>
      <c r="F185" s="112"/>
      <c r="G185" s="112"/>
      <c r="H185" s="112"/>
      <c r="I185" s="117"/>
      <c r="J185" s="117"/>
      <c r="K185" s="117"/>
      <c r="L185" s="117"/>
      <c r="M185" s="119"/>
      <c r="N185" s="119"/>
      <c r="O185" s="119"/>
    </row>
    <row r="186" spans="1:15" ht="25" customHeight="1" x14ac:dyDescent="0.35">
      <c r="A186" s="111"/>
      <c r="B186" s="111"/>
      <c r="C186" s="111"/>
      <c r="D186" s="111"/>
      <c r="E186" s="111"/>
      <c r="F186" s="112"/>
      <c r="G186" s="112"/>
      <c r="H186" s="112"/>
      <c r="I186" s="117"/>
      <c r="J186" s="117"/>
      <c r="K186" s="117"/>
      <c r="L186" s="117"/>
      <c r="M186" s="119"/>
      <c r="N186" s="119"/>
      <c r="O186" s="119"/>
    </row>
    <row r="187" spans="1:15" ht="25" customHeight="1" x14ac:dyDescent="0.35">
      <c r="A187" s="111"/>
      <c r="B187" s="111"/>
      <c r="C187" s="111"/>
      <c r="D187" s="111"/>
      <c r="E187" s="111"/>
      <c r="F187" s="112"/>
      <c r="G187" s="112"/>
      <c r="H187" s="112"/>
      <c r="I187" s="117"/>
      <c r="J187" s="117"/>
      <c r="K187" s="117"/>
      <c r="L187" s="117"/>
      <c r="M187" s="119"/>
      <c r="N187" s="119"/>
      <c r="O187" s="119"/>
    </row>
    <row r="188" spans="1:15" ht="25" customHeight="1" x14ac:dyDescent="0.35">
      <c r="A188" s="111"/>
      <c r="B188" s="111"/>
      <c r="C188" s="111"/>
      <c r="D188" s="111"/>
      <c r="E188" s="111"/>
      <c r="F188" s="112"/>
      <c r="G188" s="112"/>
      <c r="H188" s="112"/>
      <c r="I188" s="117"/>
      <c r="J188" s="117"/>
      <c r="K188" s="117"/>
      <c r="L188" s="117"/>
      <c r="M188" s="119"/>
      <c r="N188" s="119"/>
      <c r="O188" s="119"/>
    </row>
    <row r="189" spans="1:15" ht="25" customHeight="1" x14ac:dyDescent="0.35">
      <c r="A189" s="111"/>
      <c r="B189" s="111"/>
      <c r="C189" s="111"/>
      <c r="D189" s="111"/>
      <c r="E189" s="111"/>
      <c r="F189" s="112"/>
      <c r="G189" s="112"/>
      <c r="H189" s="112"/>
      <c r="I189" s="117"/>
      <c r="J189" s="117"/>
      <c r="K189" s="117"/>
      <c r="L189" s="117"/>
      <c r="M189" s="119"/>
      <c r="N189" s="119"/>
      <c r="O189" s="119"/>
    </row>
    <row r="190" spans="1:15" ht="25" customHeight="1" x14ac:dyDescent="0.35">
      <c r="A190" s="111"/>
      <c r="B190" s="111"/>
      <c r="C190" s="111"/>
      <c r="D190" s="111"/>
      <c r="E190" s="111"/>
      <c r="F190" s="112"/>
      <c r="G190" s="112"/>
      <c r="H190" s="112"/>
      <c r="I190" s="117"/>
      <c r="J190" s="117"/>
      <c r="K190" s="117"/>
      <c r="L190" s="117"/>
      <c r="M190" s="119"/>
      <c r="N190" s="119"/>
      <c r="O190" s="119"/>
    </row>
    <row r="191" spans="1:15" ht="25" customHeight="1" x14ac:dyDescent="0.35">
      <c r="A191" s="111"/>
      <c r="B191" s="111"/>
      <c r="C191" s="111"/>
      <c r="D191" s="111"/>
      <c r="E191" s="111"/>
      <c r="F191" s="112"/>
      <c r="G191" s="112"/>
      <c r="H191" s="112"/>
      <c r="I191" s="117"/>
      <c r="J191" s="117"/>
      <c r="K191" s="117"/>
      <c r="L191" s="117"/>
      <c r="M191" s="119"/>
      <c r="N191" s="119"/>
      <c r="O191" s="119"/>
    </row>
    <row r="192" spans="1:15" ht="25" customHeight="1" x14ac:dyDescent="0.35">
      <c r="A192" s="111"/>
      <c r="B192" s="111"/>
      <c r="C192" s="111"/>
      <c r="D192" s="111"/>
      <c r="E192" s="111"/>
      <c r="F192" s="112"/>
      <c r="G192" s="112"/>
      <c r="H192" s="112"/>
      <c r="I192" s="117"/>
      <c r="J192" s="117"/>
      <c r="K192" s="117"/>
      <c r="L192" s="117"/>
      <c r="M192" s="119"/>
      <c r="N192" s="119"/>
      <c r="O192" s="119"/>
    </row>
    <row r="193" spans="1:15" ht="25" customHeight="1" x14ac:dyDescent="0.35">
      <c r="A193" s="111"/>
      <c r="B193" s="111"/>
      <c r="C193" s="111"/>
      <c r="D193" s="111"/>
      <c r="E193" s="111"/>
      <c r="F193" s="112"/>
      <c r="G193" s="112"/>
      <c r="H193" s="112"/>
      <c r="I193" s="117"/>
      <c r="J193" s="117"/>
      <c r="K193" s="117"/>
      <c r="L193" s="117"/>
      <c r="M193" s="119"/>
      <c r="N193" s="119"/>
      <c r="O193" s="119"/>
    </row>
    <row r="194" spans="1:15" ht="25" customHeight="1" x14ac:dyDescent="0.35">
      <c r="A194" s="111"/>
      <c r="B194" s="111"/>
      <c r="C194" s="111"/>
      <c r="D194" s="111"/>
      <c r="E194" s="111"/>
      <c r="F194" s="112"/>
      <c r="G194" s="112"/>
      <c r="H194" s="112"/>
      <c r="I194" s="117"/>
      <c r="J194" s="117"/>
      <c r="K194" s="117"/>
      <c r="L194" s="117"/>
      <c r="M194" s="119"/>
      <c r="N194" s="119"/>
      <c r="O194" s="119"/>
    </row>
    <row r="195" spans="1:15" ht="25" customHeight="1" x14ac:dyDescent="0.35">
      <c r="A195" s="111"/>
      <c r="B195" s="111"/>
      <c r="C195" s="111"/>
      <c r="D195" s="111"/>
      <c r="E195" s="111"/>
      <c r="F195" s="112"/>
      <c r="G195" s="112"/>
      <c r="H195" s="112"/>
      <c r="I195" s="117"/>
      <c r="J195" s="117"/>
      <c r="K195" s="117"/>
      <c r="L195" s="117"/>
      <c r="M195" s="119"/>
      <c r="N195" s="119"/>
      <c r="O195" s="119"/>
    </row>
    <row r="196" spans="1:15" ht="25" customHeight="1" x14ac:dyDescent="0.35">
      <c r="A196" s="111"/>
      <c r="B196" s="111"/>
      <c r="C196" s="111"/>
      <c r="D196" s="111"/>
      <c r="E196" s="111"/>
      <c r="F196" s="112"/>
      <c r="G196" s="112"/>
      <c r="H196" s="112"/>
      <c r="I196" s="117"/>
      <c r="J196" s="117"/>
      <c r="K196" s="117"/>
      <c r="L196" s="117"/>
      <c r="M196" s="119"/>
      <c r="N196" s="119"/>
      <c r="O196" s="119"/>
    </row>
    <row r="197" spans="1:15" ht="25" customHeight="1" x14ac:dyDescent="0.35">
      <c r="A197" s="111"/>
      <c r="B197" s="111"/>
      <c r="C197" s="111"/>
      <c r="D197" s="111"/>
      <c r="E197" s="111"/>
      <c r="F197" s="112"/>
      <c r="G197" s="112"/>
      <c r="H197" s="112"/>
      <c r="I197" s="117"/>
      <c r="J197" s="117"/>
      <c r="K197" s="117"/>
      <c r="L197" s="117"/>
      <c r="M197" s="119"/>
      <c r="N197" s="119"/>
      <c r="O197" s="119"/>
    </row>
    <row r="198" spans="1:15" ht="25" customHeight="1" x14ac:dyDescent="0.35">
      <c r="A198" s="111"/>
      <c r="B198" s="111"/>
      <c r="C198" s="111"/>
      <c r="D198" s="111"/>
      <c r="E198" s="111"/>
      <c r="F198" s="112"/>
      <c r="G198" s="112"/>
      <c r="H198" s="112"/>
      <c r="I198" s="117"/>
      <c r="J198" s="117"/>
      <c r="K198" s="117"/>
      <c r="L198" s="117"/>
      <c r="M198" s="119"/>
      <c r="N198" s="119"/>
      <c r="O198" s="119"/>
    </row>
    <row r="199" spans="1:15" ht="25" customHeight="1" x14ac:dyDescent="0.35">
      <c r="A199" s="111"/>
      <c r="B199" s="111"/>
      <c r="C199" s="111"/>
      <c r="D199" s="111"/>
      <c r="E199" s="111"/>
      <c r="F199" s="112"/>
      <c r="G199" s="112"/>
      <c r="H199" s="112"/>
      <c r="I199" s="117"/>
      <c r="J199" s="117"/>
      <c r="K199" s="117"/>
      <c r="L199" s="117"/>
      <c r="M199" s="119"/>
      <c r="N199" s="119"/>
      <c r="O199" s="119"/>
    </row>
    <row r="200" spans="1:15" ht="25" customHeight="1" x14ac:dyDescent="0.35">
      <c r="A200" s="111"/>
      <c r="B200" s="111"/>
      <c r="C200" s="111"/>
      <c r="D200" s="111"/>
      <c r="E200" s="111"/>
      <c r="F200" s="112"/>
      <c r="G200" s="112"/>
      <c r="H200" s="112"/>
      <c r="I200" s="117"/>
      <c r="J200" s="117"/>
      <c r="K200" s="117"/>
      <c r="L200" s="117"/>
      <c r="M200" s="119"/>
      <c r="N200" s="119"/>
      <c r="O200" s="119"/>
    </row>
    <row r="201" spans="1:15" ht="25" customHeight="1" x14ac:dyDescent="0.35">
      <c r="A201" s="111"/>
      <c r="B201" s="111"/>
      <c r="C201" s="111"/>
      <c r="D201" s="111"/>
      <c r="E201" s="111"/>
      <c r="F201" s="112"/>
      <c r="G201" s="112"/>
      <c r="H201" s="112"/>
      <c r="I201" s="117"/>
      <c r="J201" s="117"/>
      <c r="K201" s="117"/>
      <c r="L201" s="117"/>
      <c r="M201" s="119"/>
      <c r="N201" s="119"/>
      <c r="O201" s="119"/>
    </row>
  </sheetData>
  <mergeCells count="4">
    <mergeCell ref="A3:E3"/>
    <mergeCell ref="F3:H3"/>
    <mergeCell ref="I3:L3"/>
    <mergeCell ref="M3:N3"/>
  </mergeCells>
  <conditionalFormatting sqref="M5:O14">
    <cfRule type="cellIs" dxfId="5" priority="1" operator="equal">
      <formula>2</formula>
    </cfRule>
    <cfRule type="cellIs" dxfId="4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200"/>
  <sheetViews>
    <sheetView topLeftCell="I3" workbookViewId="0">
      <selection activeCell="R5" sqref="R5"/>
    </sheetView>
  </sheetViews>
  <sheetFormatPr defaultColWidth="8.81640625" defaultRowHeight="14" x14ac:dyDescent="0.35"/>
  <cols>
    <col min="1" max="1" width="8.81640625" style="121"/>
    <col min="2" max="2" width="23.81640625" style="121" customWidth="1"/>
    <col min="3" max="9" width="18.6328125" style="121" customWidth="1"/>
    <col min="10" max="10" width="16.453125" style="121" customWidth="1"/>
    <col min="11" max="13" width="18.6328125" style="121" customWidth="1"/>
    <col min="14" max="14" width="20.453125" style="121" customWidth="1"/>
    <col min="15" max="15" width="15.6328125" style="121" customWidth="1"/>
    <col min="16" max="16" width="14.453125" style="120" customWidth="1"/>
    <col min="17" max="16384" width="8.81640625" style="120"/>
  </cols>
  <sheetData>
    <row r="2" spans="1:16" ht="29" customHeight="1" x14ac:dyDescent="0.35">
      <c r="A2" s="467" t="s">
        <v>111</v>
      </c>
      <c r="B2" s="518"/>
      <c r="C2" s="468"/>
      <c r="D2" s="527" t="s">
        <v>110</v>
      </c>
      <c r="E2" s="528"/>
      <c r="F2" s="529"/>
      <c r="G2" s="530" t="s">
        <v>109</v>
      </c>
      <c r="H2" s="531"/>
      <c r="I2" s="531"/>
      <c r="J2" s="531"/>
      <c r="K2" s="531"/>
      <c r="L2" s="521" t="s">
        <v>108</v>
      </c>
      <c r="M2" s="532"/>
      <c r="N2" s="110"/>
      <c r="O2" s="121">
        <v>5000</v>
      </c>
      <c r="P2" s="440">
        <v>0.02</v>
      </c>
    </row>
    <row r="3" spans="1:16" s="169" customFormat="1" ht="42" x14ac:dyDescent="0.35">
      <c r="A3" s="148" t="s">
        <v>20</v>
      </c>
      <c r="B3" s="149" t="s">
        <v>198</v>
      </c>
      <c r="C3" s="148" t="s">
        <v>121</v>
      </c>
      <c r="D3" s="150" t="s">
        <v>11</v>
      </c>
      <c r="E3" s="153" t="s">
        <v>122</v>
      </c>
      <c r="F3" s="153" t="s">
        <v>211</v>
      </c>
      <c r="G3" s="170" t="s">
        <v>199</v>
      </c>
      <c r="H3" s="170" t="s">
        <v>200</v>
      </c>
      <c r="I3" s="170" t="s">
        <v>201</v>
      </c>
      <c r="J3" s="170" t="s">
        <v>202</v>
      </c>
      <c r="K3" s="170" t="s">
        <v>203</v>
      </c>
      <c r="L3" s="152" t="s">
        <v>204</v>
      </c>
      <c r="M3" s="152" t="s">
        <v>205</v>
      </c>
      <c r="N3" s="152" t="s">
        <v>156</v>
      </c>
      <c r="O3" s="173" t="s">
        <v>2690</v>
      </c>
      <c r="P3" s="173" t="s">
        <v>2696</v>
      </c>
    </row>
    <row r="4" spans="1:16" ht="25" customHeight="1" x14ac:dyDescent="0.35">
      <c r="A4" s="111">
        <v>1</v>
      </c>
      <c r="B4" s="111" t="s">
        <v>2118</v>
      </c>
      <c r="C4" s="111" t="s">
        <v>855</v>
      </c>
      <c r="D4" s="112">
        <v>2014</v>
      </c>
      <c r="E4" s="112">
        <v>2020</v>
      </c>
      <c r="F4" s="112" t="s">
        <v>2119</v>
      </c>
      <c r="G4" s="171">
        <v>150.44999999999999</v>
      </c>
      <c r="H4" s="171">
        <v>139.5</v>
      </c>
      <c r="I4" s="171" t="s">
        <v>2120</v>
      </c>
      <c r="J4" s="171" t="s">
        <v>2121</v>
      </c>
      <c r="K4" s="171" t="s">
        <v>2122</v>
      </c>
      <c r="L4" s="154">
        <v>5</v>
      </c>
      <c r="M4" s="154">
        <v>5</v>
      </c>
      <c r="N4" s="154">
        <v>5</v>
      </c>
      <c r="O4" s="449">
        <f>G4*O$2</f>
        <v>752250</v>
      </c>
      <c r="P4" s="450">
        <f>ROUND(P$2*O4,-2)</f>
        <v>15000</v>
      </c>
    </row>
    <row r="5" spans="1:16" ht="25" customHeight="1" x14ac:dyDescent="0.35">
      <c r="A5" s="111">
        <v>2</v>
      </c>
      <c r="B5" s="111" t="s">
        <v>2123</v>
      </c>
      <c r="C5" s="111" t="s">
        <v>855</v>
      </c>
      <c r="D5" s="112">
        <v>2019</v>
      </c>
      <c r="E5" s="112"/>
      <c r="F5" s="112"/>
      <c r="G5" s="171">
        <v>113.22</v>
      </c>
      <c r="H5" s="171">
        <v>99</v>
      </c>
      <c r="I5" s="171" t="s">
        <v>2124</v>
      </c>
      <c r="J5" s="171" t="s">
        <v>2121</v>
      </c>
      <c r="K5" s="171" t="s">
        <v>2122</v>
      </c>
      <c r="L5" s="154">
        <v>5</v>
      </c>
      <c r="M5" s="154">
        <v>5</v>
      </c>
      <c r="N5" s="154">
        <v>5</v>
      </c>
      <c r="O5" s="449">
        <f t="shared" ref="O5:O10" si="0">G5*O$2</f>
        <v>566100</v>
      </c>
      <c r="P5" s="450">
        <f t="shared" ref="P5:P10" si="1">ROUND(P$2*O5,-2)</f>
        <v>11300</v>
      </c>
    </row>
    <row r="6" spans="1:16" ht="25" customHeight="1" x14ac:dyDescent="0.35">
      <c r="A6" s="111">
        <v>3</v>
      </c>
      <c r="B6" s="111" t="s">
        <v>377</v>
      </c>
      <c r="C6" s="111" t="s">
        <v>383</v>
      </c>
      <c r="D6" s="112">
        <v>2010</v>
      </c>
      <c r="E6" s="112"/>
      <c r="F6" s="112"/>
      <c r="G6" s="171">
        <v>226.8</v>
      </c>
      <c r="H6" s="171">
        <v>300</v>
      </c>
      <c r="I6" s="171" t="s">
        <v>2125</v>
      </c>
      <c r="J6" s="171" t="s">
        <v>2126</v>
      </c>
      <c r="K6" s="171" t="s">
        <v>2127</v>
      </c>
      <c r="L6" s="154">
        <v>5</v>
      </c>
      <c r="M6" s="154">
        <v>5</v>
      </c>
      <c r="N6" s="154">
        <v>5</v>
      </c>
      <c r="O6" s="449">
        <f t="shared" si="0"/>
        <v>1134000</v>
      </c>
      <c r="P6" s="450">
        <f t="shared" si="1"/>
        <v>22700</v>
      </c>
    </row>
    <row r="7" spans="1:16" ht="25" customHeight="1" x14ac:dyDescent="0.35">
      <c r="A7" s="111">
        <v>4</v>
      </c>
      <c r="B7" s="111" t="s">
        <v>2128</v>
      </c>
      <c r="C7" s="111" t="s">
        <v>576</v>
      </c>
      <c r="D7" s="112">
        <v>2008</v>
      </c>
      <c r="E7" s="112">
        <v>2018</v>
      </c>
      <c r="F7" s="112" t="s">
        <v>2119</v>
      </c>
      <c r="G7" s="171">
        <v>98.28</v>
      </c>
      <c r="H7" s="171">
        <v>90</v>
      </c>
      <c r="I7" s="171" t="s">
        <v>2120</v>
      </c>
      <c r="J7" s="171" t="s">
        <v>2129</v>
      </c>
      <c r="K7" s="171" t="s">
        <v>2122</v>
      </c>
      <c r="L7" s="154">
        <v>3</v>
      </c>
      <c r="M7" s="154">
        <v>5</v>
      </c>
      <c r="N7" s="154">
        <v>4</v>
      </c>
      <c r="O7" s="449">
        <f t="shared" si="0"/>
        <v>491400</v>
      </c>
      <c r="P7" s="450">
        <f t="shared" si="1"/>
        <v>9800</v>
      </c>
    </row>
    <row r="8" spans="1:16" ht="25" customHeight="1" x14ac:dyDescent="0.35">
      <c r="A8" s="111">
        <v>5</v>
      </c>
      <c r="B8" s="111" t="s">
        <v>2130</v>
      </c>
      <c r="C8" s="111" t="s">
        <v>1177</v>
      </c>
      <c r="D8" s="112">
        <v>2015</v>
      </c>
      <c r="E8" s="112" t="s">
        <v>2131</v>
      </c>
      <c r="F8" s="112" t="s">
        <v>2132</v>
      </c>
      <c r="G8" s="171">
        <v>100.65</v>
      </c>
      <c r="H8" s="171">
        <v>150</v>
      </c>
      <c r="I8" s="171" t="s">
        <v>2133</v>
      </c>
      <c r="J8" s="171" t="s">
        <v>2134</v>
      </c>
      <c r="K8" s="171" t="s">
        <v>2122</v>
      </c>
      <c r="L8" s="154">
        <v>5</v>
      </c>
      <c r="M8" s="154">
        <v>3</v>
      </c>
      <c r="N8" s="154">
        <v>4</v>
      </c>
      <c r="O8" s="449">
        <f t="shared" si="0"/>
        <v>503250</v>
      </c>
      <c r="P8" s="450">
        <f t="shared" si="1"/>
        <v>10100</v>
      </c>
    </row>
    <row r="9" spans="1:16" ht="25" customHeight="1" x14ac:dyDescent="0.35">
      <c r="A9" s="111">
        <v>6</v>
      </c>
      <c r="B9" s="111" t="s">
        <v>2135</v>
      </c>
      <c r="C9" s="111" t="s">
        <v>1173</v>
      </c>
      <c r="D9" s="112">
        <v>2015</v>
      </c>
      <c r="E9" s="112" t="s">
        <v>2136</v>
      </c>
      <c r="F9" s="112" t="s">
        <v>2137</v>
      </c>
      <c r="G9" s="171">
        <v>164</v>
      </c>
      <c r="H9" s="171">
        <v>160</v>
      </c>
      <c r="I9" s="171" t="s">
        <v>2133</v>
      </c>
      <c r="J9" s="172" t="s">
        <v>2138</v>
      </c>
      <c r="K9" s="171" t="s">
        <v>2122</v>
      </c>
      <c r="L9" s="154">
        <v>5</v>
      </c>
      <c r="M9" s="154">
        <v>4</v>
      </c>
      <c r="N9" s="154">
        <v>4</v>
      </c>
      <c r="O9" s="449">
        <f t="shared" si="0"/>
        <v>820000</v>
      </c>
      <c r="P9" s="450">
        <f t="shared" si="1"/>
        <v>16400</v>
      </c>
    </row>
    <row r="10" spans="1:16" ht="25" customHeight="1" x14ac:dyDescent="0.35">
      <c r="A10" s="111">
        <v>7</v>
      </c>
      <c r="B10" s="111" t="s">
        <v>2139</v>
      </c>
      <c r="C10" s="111" t="s">
        <v>1253</v>
      </c>
      <c r="D10" s="112">
        <v>2019</v>
      </c>
      <c r="E10" s="112"/>
      <c r="F10" s="112"/>
      <c r="G10" s="171">
        <v>65.7</v>
      </c>
      <c r="H10" s="171">
        <v>63</v>
      </c>
      <c r="I10" s="171" t="s">
        <v>2140</v>
      </c>
      <c r="J10" s="171" t="s">
        <v>2121</v>
      </c>
      <c r="K10" s="171" t="s">
        <v>2122</v>
      </c>
      <c r="L10" s="154">
        <v>5</v>
      </c>
      <c r="M10" s="154">
        <v>5</v>
      </c>
      <c r="N10" s="154">
        <v>5</v>
      </c>
      <c r="O10" s="449">
        <f t="shared" si="0"/>
        <v>328500</v>
      </c>
      <c r="P10" s="450">
        <f t="shared" si="1"/>
        <v>6600</v>
      </c>
    </row>
    <row r="11" spans="1:16" ht="25" customHeight="1" x14ac:dyDescent="0.35">
      <c r="A11" s="111"/>
      <c r="B11" s="111"/>
      <c r="C11" s="111"/>
      <c r="D11" s="112"/>
      <c r="E11" s="112"/>
      <c r="F11" s="112"/>
      <c r="G11" s="171"/>
      <c r="H11" s="171"/>
      <c r="I11" s="171"/>
      <c r="J11" s="171"/>
      <c r="K11" s="171"/>
      <c r="L11" s="154"/>
      <c r="M11" s="154"/>
      <c r="N11" s="154"/>
    </row>
    <row r="12" spans="1:16" ht="25" customHeight="1" x14ac:dyDescent="0.35">
      <c r="A12" s="111"/>
      <c r="B12" s="111"/>
      <c r="C12" s="111"/>
      <c r="D12" s="112"/>
      <c r="E12" s="112"/>
      <c r="F12" s="112"/>
      <c r="G12" s="171"/>
      <c r="H12" s="171"/>
      <c r="I12" s="171"/>
      <c r="J12" s="171"/>
      <c r="K12" s="171"/>
      <c r="L12" s="154"/>
      <c r="M12" s="154"/>
      <c r="N12" s="154"/>
      <c r="O12" s="451">
        <f>SUM(O4:O10)</f>
        <v>4595500</v>
      </c>
      <c r="P12" s="451">
        <f>SUM(P4:P10)</f>
        <v>91900</v>
      </c>
    </row>
    <row r="13" spans="1:16" ht="25" customHeight="1" x14ac:dyDescent="0.35">
      <c r="A13" s="111"/>
      <c r="B13" s="111"/>
      <c r="C13" s="111"/>
      <c r="D13" s="112"/>
      <c r="E13" s="112"/>
      <c r="F13" s="112"/>
      <c r="G13" s="171"/>
      <c r="H13" s="171"/>
      <c r="I13" s="171"/>
      <c r="J13" s="171"/>
      <c r="K13" s="171"/>
      <c r="L13" s="154"/>
      <c r="M13" s="154"/>
      <c r="N13" s="154"/>
    </row>
    <row r="14" spans="1:16" ht="25" customHeight="1" x14ac:dyDescent="0.35">
      <c r="A14" s="111"/>
      <c r="B14" s="111"/>
      <c r="C14" s="111"/>
      <c r="D14" s="112"/>
      <c r="E14" s="112"/>
      <c r="F14" s="112"/>
      <c r="G14" s="171"/>
      <c r="H14" s="171"/>
      <c r="I14" s="171"/>
      <c r="J14" s="171"/>
      <c r="K14" s="171"/>
      <c r="L14" s="154"/>
      <c r="M14" s="154"/>
      <c r="N14" s="154"/>
    </row>
    <row r="15" spans="1:16" ht="25" customHeight="1" x14ac:dyDescent="0.35">
      <c r="A15" s="111"/>
      <c r="B15" s="111"/>
      <c r="C15" s="111"/>
      <c r="D15" s="112"/>
      <c r="E15" s="112"/>
      <c r="F15" s="112"/>
      <c r="G15" s="171"/>
      <c r="H15" s="171"/>
      <c r="I15" s="171"/>
      <c r="J15" s="171"/>
      <c r="K15" s="171"/>
      <c r="L15" s="154"/>
      <c r="M15" s="154"/>
      <c r="N15" s="154"/>
    </row>
    <row r="16" spans="1:16" ht="25" customHeight="1" x14ac:dyDescent="0.35">
      <c r="A16" s="111"/>
      <c r="B16" s="111"/>
      <c r="C16" s="111"/>
      <c r="D16" s="112"/>
      <c r="E16" s="112"/>
      <c r="F16" s="112"/>
      <c r="G16" s="171"/>
      <c r="H16" s="171"/>
      <c r="I16" s="171"/>
      <c r="J16" s="171"/>
      <c r="K16" s="171"/>
      <c r="L16" s="154"/>
      <c r="M16" s="154"/>
      <c r="N16" s="154"/>
    </row>
    <row r="17" spans="1:14" ht="25" customHeight="1" x14ac:dyDescent="0.35">
      <c r="A17" s="111"/>
      <c r="B17" s="111"/>
      <c r="C17" s="111"/>
      <c r="D17" s="112"/>
      <c r="E17" s="112"/>
      <c r="F17" s="112"/>
      <c r="G17" s="171"/>
      <c r="H17" s="171"/>
      <c r="I17" s="171"/>
      <c r="J17" s="171"/>
      <c r="K17" s="171"/>
      <c r="L17" s="154"/>
      <c r="M17" s="154"/>
      <c r="N17" s="154"/>
    </row>
    <row r="18" spans="1:14" ht="25" customHeight="1" x14ac:dyDescent="0.35">
      <c r="A18" s="111"/>
      <c r="B18" s="111"/>
      <c r="C18" s="111"/>
      <c r="D18" s="112"/>
      <c r="E18" s="112"/>
      <c r="F18" s="112"/>
      <c r="G18" s="171"/>
      <c r="H18" s="171"/>
      <c r="I18" s="171"/>
      <c r="J18" s="171"/>
      <c r="K18" s="171"/>
      <c r="L18" s="154"/>
      <c r="M18" s="154"/>
      <c r="N18" s="154"/>
    </row>
    <row r="19" spans="1:14" ht="25" customHeight="1" x14ac:dyDescent="0.35">
      <c r="A19" s="111"/>
      <c r="B19" s="111"/>
      <c r="C19" s="111"/>
      <c r="D19" s="112"/>
      <c r="E19" s="112"/>
      <c r="F19" s="112"/>
      <c r="G19" s="171"/>
      <c r="H19" s="171"/>
      <c r="I19" s="171"/>
      <c r="J19" s="171"/>
      <c r="K19" s="171"/>
      <c r="L19" s="154"/>
      <c r="M19" s="154"/>
      <c r="N19" s="154"/>
    </row>
    <row r="20" spans="1:14" ht="25" customHeight="1" x14ac:dyDescent="0.35">
      <c r="A20" s="111"/>
      <c r="B20" s="111"/>
      <c r="C20" s="111"/>
      <c r="D20" s="112"/>
      <c r="E20" s="112"/>
      <c r="F20" s="112"/>
      <c r="G20" s="171"/>
      <c r="H20" s="171"/>
      <c r="I20" s="171"/>
      <c r="J20" s="171"/>
      <c r="K20" s="171"/>
      <c r="L20" s="154"/>
      <c r="M20" s="154"/>
      <c r="N20" s="154"/>
    </row>
    <row r="21" spans="1:14" ht="25" customHeight="1" x14ac:dyDescent="0.35">
      <c r="A21" s="111"/>
      <c r="B21" s="111"/>
      <c r="C21" s="111"/>
      <c r="D21" s="112"/>
      <c r="E21" s="112"/>
      <c r="F21" s="112"/>
      <c r="G21" s="171"/>
      <c r="H21" s="171"/>
      <c r="I21" s="171"/>
      <c r="J21" s="171"/>
      <c r="K21" s="171"/>
      <c r="L21" s="154"/>
      <c r="M21" s="154"/>
      <c r="N21" s="154"/>
    </row>
    <row r="22" spans="1:14" ht="25" customHeight="1" x14ac:dyDescent="0.35">
      <c r="A22" s="111"/>
      <c r="B22" s="111"/>
      <c r="C22" s="111"/>
      <c r="D22" s="112"/>
      <c r="E22" s="112"/>
      <c r="F22" s="112"/>
      <c r="G22" s="171"/>
      <c r="H22" s="171"/>
      <c r="I22" s="171"/>
      <c r="J22" s="171"/>
      <c r="K22" s="171"/>
      <c r="L22" s="154"/>
      <c r="M22" s="154"/>
      <c r="N22" s="154"/>
    </row>
    <row r="23" spans="1:14" ht="25" customHeight="1" x14ac:dyDescent="0.35">
      <c r="A23" s="111"/>
      <c r="B23" s="111"/>
      <c r="C23" s="111"/>
      <c r="D23" s="112"/>
      <c r="E23" s="112"/>
      <c r="F23" s="112"/>
      <c r="G23" s="171"/>
      <c r="H23" s="171"/>
      <c r="I23" s="171"/>
      <c r="J23" s="171"/>
      <c r="K23" s="171"/>
      <c r="L23" s="154"/>
      <c r="M23" s="154"/>
      <c r="N23" s="154"/>
    </row>
    <row r="24" spans="1:14" ht="25" customHeight="1" x14ac:dyDescent="0.35">
      <c r="A24" s="111"/>
      <c r="B24" s="111"/>
      <c r="C24" s="111"/>
      <c r="D24" s="112"/>
      <c r="E24" s="112"/>
      <c r="F24" s="112"/>
      <c r="G24" s="171"/>
      <c r="H24" s="171"/>
      <c r="I24" s="171"/>
      <c r="J24" s="171"/>
      <c r="K24" s="171"/>
      <c r="L24" s="154"/>
      <c r="M24" s="154"/>
      <c r="N24" s="154"/>
    </row>
    <row r="25" spans="1:14" ht="25" customHeight="1" x14ac:dyDescent="0.35">
      <c r="A25" s="111"/>
      <c r="B25" s="111"/>
      <c r="C25" s="111"/>
      <c r="D25" s="112"/>
      <c r="E25" s="112"/>
      <c r="F25" s="112"/>
      <c r="G25" s="171"/>
      <c r="H25" s="171"/>
      <c r="I25" s="171"/>
      <c r="J25" s="171"/>
      <c r="K25" s="171"/>
      <c r="L25" s="154"/>
      <c r="M25" s="154"/>
      <c r="N25" s="154"/>
    </row>
    <row r="26" spans="1:14" ht="25" customHeight="1" x14ac:dyDescent="0.35">
      <c r="A26" s="111"/>
      <c r="B26" s="111"/>
      <c r="C26" s="111"/>
      <c r="D26" s="112"/>
      <c r="E26" s="112"/>
      <c r="F26" s="112"/>
      <c r="G26" s="171"/>
      <c r="H26" s="171"/>
      <c r="I26" s="171"/>
      <c r="J26" s="171"/>
      <c r="K26" s="171"/>
      <c r="L26" s="154"/>
      <c r="M26" s="154"/>
      <c r="N26" s="154"/>
    </row>
    <row r="27" spans="1:14" ht="25" customHeight="1" x14ac:dyDescent="0.35">
      <c r="A27" s="111"/>
      <c r="B27" s="111"/>
      <c r="C27" s="111"/>
      <c r="D27" s="112"/>
      <c r="E27" s="112"/>
      <c r="F27" s="112"/>
      <c r="G27" s="171"/>
      <c r="H27" s="171"/>
      <c r="I27" s="171"/>
      <c r="J27" s="171"/>
      <c r="K27" s="171"/>
      <c r="L27" s="154"/>
      <c r="M27" s="154"/>
      <c r="N27" s="154"/>
    </row>
    <row r="28" spans="1:14" ht="25" customHeight="1" x14ac:dyDescent="0.35">
      <c r="A28" s="111"/>
      <c r="B28" s="111"/>
      <c r="C28" s="111"/>
      <c r="D28" s="112"/>
      <c r="E28" s="112"/>
      <c r="F28" s="112"/>
      <c r="G28" s="171"/>
      <c r="H28" s="171"/>
      <c r="I28" s="171"/>
      <c r="J28" s="171"/>
      <c r="K28" s="171"/>
      <c r="L28" s="154"/>
      <c r="M28" s="154"/>
      <c r="N28" s="154"/>
    </row>
    <row r="29" spans="1:14" ht="25" customHeight="1" x14ac:dyDescent="0.35">
      <c r="A29" s="111"/>
      <c r="B29" s="111"/>
      <c r="C29" s="111"/>
      <c r="D29" s="112"/>
      <c r="E29" s="112"/>
      <c r="F29" s="112"/>
      <c r="G29" s="171"/>
      <c r="H29" s="171"/>
      <c r="I29" s="171"/>
      <c r="J29" s="171"/>
      <c r="K29" s="171"/>
      <c r="L29" s="154"/>
      <c r="M29" s="154"/>
      <c r="N29" s="154"/>
    </row>
    <row r="30" spans="1:14" ht="25" customHeight="1" x14ac:dyDescent="0.35">
      <c r="A30" s="111"/>
      <c r="B30" s="111"/>
      <c r="C30" s="111"/>
      <c r="D30" s="112"/>
      <c r="E30" s="112"/>
      <c r="F30" s="112"/>
      <c r="G30" s="171"/>
      <c r="H30" s="171"/>
      <c r="I30" s="171"/>
      <c r="J30" s="171"/>
      <c r="K30" s="171"/>
      <c r="L30" s="154"/>
      <c r="M30" s="154"/>
      <c r="N30" s="154"/>
    </row>
    <row r="31" spans="1:14" ht="25" customHeight="1" x14ac:dyDescent="0.35">
      <c r="A31" s="111"/>
      <c r="B31" s="111"/>
      <c r="C31" s="111"/>
      <c r="D31" s="112"/>
      <c r="E31" s="112"/>
      <c r="F31" s="112"/>
      <c r="G31" s="171"/>
      <c r="H31" s="171"/>
      <c r="I31" s="171"/>
      <c r="J31" s="171"/>
      <c r="K31" s="171"/>
      <c r="L31" s="154"/>
      <c r="M31" s="154"/>
      <c r="N31" s="154"/>
    </row>
    <row r="32" spans="1:14" ht="25" customHeight="1" x14ac:dyDescent="0.35">
      <c r="A32" s="111"/>
      <c r="B32" s="111"/>
      <c r="C32" s="111"/>
      <c r="D32" s="112"/>
      <c r="E32" s="112"/>
      <c r="F32" s="112"/>
      <c r="G32" s="171"/>
      <c r="H32" s="171"/>
      <c r="I32" s="171"/>
      <c r="J32" s="171"/>
      <c r="K32" s="171"/>
      <c r="L32" s="154"/>
      <c r="M32" s="154"/>
      <c r="N32" s="154"/>
    </row>
    <row r="33" spans="1:14" ht="25" customHeight="1" x14ac:dyDescent="0.35">
      <c r="A33" s="111"/>
      <c r="B33" s="111"/>
      <c r="C33" s="111"/>
      <c r="D33" s="112"/>
      <c r="E33" s="112"/>
      <c r="F33" s="112"/>
      <c r="G33" s="171"/>
      <c r="H33" s="171"/>
      <c r="I33" s="171"/>
      <c r="J33" s="171"/>
      <c r="K33" s="171"/>
      <c r="L33" s="154"/>
      <c r="M33" s="154"/>
      <c r="N33" s="154"/>
    </row>
    <row r="34" spans="1:14" ht="25" customHeight="1" x14ac:dyDescent="0.35">
      <c r="A34" s="111"/>
      <c r="B34" s="111"/>
      <c r="C34" s="111"/>
      <c r="D34" s="112"/>
      <c r="E34" s="112"/>
      <c r="F34" s="112"/>
      <c r="G34" s="171"/>
      <c r="H34" s="171"/>
      <c r="I34" s="171"/>
      <c r="J34" s="171"/>
      <c r="K34" s="171"/>
      <c r="L34" s="154"/>
      <c r="M34" s="154"/>
      <c r="N34" s="154"/>
    </row>
    <row r="35" spans="1:14" ht="25" customHeight="1" x14ac:dyDescent="0.35">
      <c r="A35" s="111"/>
      <c r="B35" s="111"/>
      <c r="C35" s="111"/>
      <c r="D35" s="112"/>
      <c r="E35" s="112"/>
      <c r="F35" s="112"/>
      <c r="G35" s="171"/>
      <c r="H35" s="171"/>
      <c r="I35" s="171"/>
      <c r="J35" s="171"/>
      <c r="K35" s="171"/>
      <c r="L35" s="154"/>
      <c r="M35" s="154"/>
      <c r="N35" s="154"/>
    </row>
    <row r="36" spans="1:14" ht="25" customHeight="1" x14ac:dyDescent="0.35">
      <c r="A36" s="111"/>
      <c r="B36" s="111"/>
      <c r="C36" s="111"/>
      <c r="D36" s="112"/>
      <c r="E36" s="112"/>
      <c r="F36" s="112"/>
      <c r="G36" s="171"/>
      <c r="H36" s="171"/>
      <c r="I36" s="171"/>
      <c r="J36" s="171"/>
      <c r="K36" s="171"/>
      <c r="L36" s="154"/>
      <c r="M36" s="154"/>
      <c r="N36" s="154"/>
    </row>
    <row r="37" spans="1:14" ht="25" customHeight="1" x14ac:dyDescent="0.35">
      <c r="A37" s="111"/>
      <c r="B37" s="111"/>
      <c r="C37" s="111"/>
      <c r="D37" s="112"/>
      <c r="E37" s="112"/>
      <c r="F37" s="112"/>
      <c r="G37" s="171"/>
      <c r="H37" s="171"/>
      <c r="I37" s="171"/>
      <c r="J37" s="171"/>
      <c r="K37" s="171"/>
      <c r="L37" s="154"/>
      <c r="M37" s="154"/>
      <c r="N37" s="154"/>
    </row>
    <row r="38" spans="1:14" ht="25" customHeight="1" x14ac:dyDescent="0.35">
      <c r="A38" s="111"/>
      <c r="B38" s="111"/>
      <c r="C38" s="111"/>
      <c r="D38" s="112"/>
      <c r="E38" s="112"/>
      <c r="F38" s="112"/>
      <c r="G38" s="171"/>
      <c r="H38" s="171"/>
      <c r="I38" s="171"/>
      <c r="J38" s="171"/>
      <c r="K38" s="171"/>
      <c r="L38" s="154"/>
      <c r="M38" s="154"/>
      <c r="N38" s="154"/>
    </row>
    <row r="39" spans="1:14" ht="25" customHeight="1" x14ac:dyDescent="0.35">
      <c r="A39" s="111"/>
      <c r="B39" s="111"/>
      <c r="C39" s="111"/>
      <c r="D39" s="112"/>
      <c r="E39" s="112"/>
      <c r="F39" s="112"/>
      <c r="G39" s="171"/>
      <c r="H39" s="171"/>
      <c r="I39" s="171"/>
      <c r="J39" s="171"/>
      <c r="K39" s="171"/>
      <c r="L39" s="154"/>
      <c r="M39" s="154"/>
      <c r="N39" s="154"/>
    </row>
    <row r="40" spans="1:14" ht="25" customHeight="1" x14ac:dyDescent="0.35">
      <c r="A40" s="111"/>
      <c r="B40" s="111"/>
      <c r="C40" s="111"/>
      <c r="D40" s="112"/>
      <c r="E40" s="112"/>
      <c r="F40" s="112"/>
      <c r="G40" s="171"/>
      <c r="H40" s="171"/>
      <c r="I40" s="171"/>
      <c r="J40" s="171"/>
      <c r="K40" s="171"/>
      <c r="L40" s="154"/>
      <c r="M40" s="154"/>
      <c r="N40" s="154"/>
    </row>
    <row r="41" spans="1:14" ht="25" customHeight="1" x14ac:dyDescent="0.35">
      <c r="A41" s="111"/>
      <c r="B41" s="111"/>
      <c r="C41" s="111"/>
      <c r="D41" s="112"/>
      <c r="E41" s="112"/>
      <c r="F41" s="112"/>
      <c r="G41" s="171"/>
      <c r="H41" s="171"/>
      <c r="I41" s="171"/>
      <c r="J41" s="171"/>
      <c r="K41" s="171"/>
      <c r="L41" s="154"/>
      <c r="M41" s="154"/>
      <c r="N41" s="154"/>
    </row>
    <row r="42" spans="1:14" ht="25" customHeight="1" x14ac:dyDescent="0.35">
      <c r="A42" s="111"/>
      <c r="B42" s="111"/>
      <c r="C42" s="111"/>
      <c r="D42" s="112"/>
      <c r="E42" s="112"/>
      <c r="F42" s="112"/>
      <c r="G42" s="171"/>
      <c r="H42" s="171"/>
      <c r="I42" s="171"/>
      <c r="J42" s="171"/>
      <c r="K42" s="171"/>
      <c r="L42" s="154"/>
      <c r="M42" s="154"/>
      <c r="N42" s="154"/>
    </row>
    <row r="43" spans="1:14" ht="25" customHeight="1" x14ac:dyDescent="0.35">
      <c r="A43" s="111"/>
      <c r="B43" s="111"/>
      <c r="C43" s="111"/>
      <c r="D43" s="112"/>
      <c r="E43" s="112"/>
      <c r="F43" s="112"/>
      <c r="G43" s="171"/>
      <c r="H43" s="171"/>
      <c r="I43" s="171"/>
      <c r="J43" s="171"/>
      <c r="K43" s="171"/>
      <c r="L43" s="154"/>
      <c r="M43" s="154"/>
      <c r="N43" s="154"/>
    </row>
    <row r="44" spans="1:14" ht="25" customHeight="1" x14ac:dyDescent="0.35">
      <c r="A44" s="111"/>
      <c r="B44" s="111"/>
      <c r="C44" s="111"/>
      <c r="D44" s="112"/>
      <c r="E44" s="112"/>
      <c r="F44" s="112"/>
      <c r="G44" s="171"/>
      <c r="H44" s="171"/>
      <c r="I44" s="171"/>
      <c r="J44" s="171"/>
      <c r="K44" s="171"/>
      <c r="L44" s="154"/>
      <c r="M44" s="154"/>
      <c r="N44" s="154"/>
    </row>
    <row r="45" spans="1:14" ht="25" customHeight="1" x14ac:dyDescent="0.35">
      <c r="A45" s="111"/>
      <c r="B45" s="111"/>
      <c r="C45" s="111"/>
      <c r="D45" s="112"/>
      <c r="E45" s="112"/>
      <c r="F45" s="112"/>
      <c r="G45" s="171"/>
      <c r="H45" s="171"/>
      <c r="I45" s="171"/>
      <c r="J45" s="171"/>
      <c r="K45" s="171"/>
      <c r="L45" s="154"/>
      <c r="M45" s="154"/>
      <c r="N45" s="154"/>
    </row>
    <row r="46" spans="1:14" ht="25" customHeight="1" x14ac:dyDescent="0.35">
      <c r="A46" s="111"/>
      <c r="B46" s="111"/>
      <c r="C46" s="111"/>
      <c r="D46" s="112"/>
      <c r="E46" s="112"/>
      <c r="F46" s="112"/>
      <c r="G46" s="171"/>
      <c r="H46" s="171"/>
      <c r="I46" s="171"/>
      <c r="J46" s="171"/>
      <c r="K46" s="171"/>
      <c r="L46" s="154"/>
      <c r="M46" s="154"/>
      <c r="N46" s="154"/>
    </row>
    <row r="47" spans="1:14" ht="25" customHeight="1" x14ac:dyDescent="0.35">
      <c r="A47" s="111"/>
      <c r="B47" s="111"/>
      <c r="C47" s="111"/>
      <c r="D47" s="112"/>
      <c r="E47" s="112"/>
      <c r="F47" s="112"/>
      <c r="G47" s="171"/>
      <c r="H47" s="171"/>
      <c r="I47" s="171"/>
      <c r="J47" s="171"/>
      <c r="K47" s="171"/>
      <c r="L47" s="154"/>
      <c r="M47" s="154"/>
      <c r="N47" s="154"/>
    </row>
    <row r="48" spans="1:14" ht="25" customHeight="1" x14ac:dyDescent="0.35">
      <c r="A48" s="111"/>
      <c r="B48" s="111"/>
      <c r="C48" s="111"/>
      <c r="D48" s="112"/>
      <c r="E48" s="112"/>
      <c r="F48" s="112"/>
      <c r="G48" s="171"/>
      <c r="H48" s="171"/>
      <c r="I48" s="171"/>
      <c r="J48" s="171"/>
      <c r="K48" s="171"/>
      <c r="L48" s="154"/>
      <c r="M48" s="154"/>
      <c r="N48" s="154"/>
    </row>
    <row r="49" spans="1:14" ht="25" customHeight="1" x14ac:dyDescent="0.35">
      <c r="A49" s="111"/>
      <c r="B49" s="111"/>
      <c r="C49" s="111"/>
      <c r="D49" s="112"/>
      <c r="E49" s="112"/>
      <c r="F49" s="112"/>
      <c r="G49" s="171"/>
      <c r="H49" s="171"/>
      <c r="I49" s="171"/>
      <c r="J49" s="171"/>
      <c r="K49" s="171"/>
      <c r="L49" s="154"/>
      <c r="M49" s="154"/>
      <c r="N49" s="154"/>
    </row>
    <row r="50" spans="1:14" ht="25" customHeight="1" x14ac:dyDescent="0.35">
      <c r="A50" s="111"/>
      <c r="B50" s="111"/>
      <c r="C50" s="111"/>
      <c r="D50" s="112"/>
      <c r="E50" s="112"/>
      <c r="F50" s="112"/>
      <c r="G50" s="171"/>
      <c r="H50" s="171"/>
      <c r="I50" s="171"/>
      <c r="J50" s="171"/>
      <c r="K50" s="171"/>
      <c r="L50" s="154"/>
      <c r="M50" s="154"/>
      <c r="N50" s="154"/>
    </row>
    <row r="51" spans="1:14" ht="25" customHeight="1" x14ac:dyDescent="0.35">
      <c r="A51" s="111"/>
      <c r="B51" s="111"/>
      <c r="C51" s="111"/>
      <c r="D51" s="112"/>
      <c r="E51" s="112"/>
      <c r="F51" s="112"/>
      <c r="G51" s="171"/>
      <c r="H51" s="171"/>
      <c r="I51" s="171"/>
      <c r="J51" s="171"/>
      <c r="K51" s="171"/>
      <c r="L51" s="154"/>
      <c r="M51" s="154"/>
      <c r="N51" s="154"/>
    </row>
    <row r="52" spans="1:14" ht="25" customHeight="1" x14ac:dyDescent="0.35">
      <c r="A52" s="111"/>
      <c r="B52" s="111"/>
      <c r="C52" s="111"/>
      <c r="D52" s="112"/>
      <c r="E52" s="112"/>
      <c r="F52" s="112"/>
      <c r="G52" s="171"/>
      <c r="H52" s="171"/>
      <c r="I52" s="171"/>
      <c r="J52" s="171"/>
      <c r="K52" s="171"/>
      <c r="L52" s="154"/>
      <c r="M52" s="154"/>
      <c r="N52" s="154"/>
    </row>
    <row r="53" spans="1:14" ht="25" customHeight="1" x14ac:dyDescent="0.35">
      <c r="A53" s="111"/>
      <c r="B53" s="111"/>
      <c r="C53" s="111"/>
      <c r="D53" s="112"/>
      <c r="E53" s="112"/>
      <c r="F53" s="112"/>
      <c r="G53" s="171"/>
      <c r="H53" s="171"/>
      <c r="I53" s="171"/>
      <c r="J53" s="171"/>
      <c r="K53" s="171"/>
      <c r="L53" s="154"/>
      <c r="M53" s="154"/>
      <c r="N53" s="154"/>
    </row>
    <row r="54" spans="1:14" ht="25" customHeight="1" x14ac:dyDescent="0.35">
      <c r="A54" s="111"/>
      <c r="B54" s="111"/>
      <c r="C54" s="111"/>
      <c r="D54" s="112"/>
      <c r="E54" s="112"/>
      <c r="F54" s="112"/>
      <c r="G54" s="171"/>
      <c r="H54" s="171"/>
      <c r="I54" s="171"/>
      <c r="J54" s="171"/>
      <c r="K54" s="171"/>
      <c r="L54" s="154"/>
      <c r="M54" s="154"/>
      <c r="N54" s="154"/>
    </row>
    <row r="55" spans="1:14" ht="25" customHeight="1" x14ac:dyDescent="0.35">
      <c r="A55" s="111"/>
      <c r="B55" s="111"/>
      <c r="C55" s="111"/>
      <c r="D55" s="112"/>
      <c r="E55" s="112"/>
      <c r="F55" s="112"/>
      <c r="G55" s="171"/>
      <c r="H55" s="171"/>
      <c r="I55" s="171"/>
      <c r="J55" s="171"/>
      <c r="K55" s="171"/>
      <c r="L55" s="154"/>
      <c r="M55" s="154"/>
      <c r="N55" s="154"/>
    </row>
    <row r="56" spans="1:14" ht="25" customHeight="1" x14ac:dyDescent="0.35">
      <c r="A56" s="111"/>
      <c r="B56" s="111"/>
      <c r="C56" s="111"/>
      <c r="D56" s="112"/>
      <c r="E56" s="112"/>
      <c r="F56" s="112"/>
      <c r="G56" s="171"/>
      <c r="H56" s="171"/>
      <c r="I56" s="171"/>
      <c r="J56" s="171"/>
      <c r="K56" s="171"/>
      <c r="L56" s="154"/>
      <c r="M56" s="154"/>
      <c r="N56" s="154"/>
    </row>
    <row r="57" spans="1:14" ht="25" customHeight="1" x14ac:dyDescent="0.35">
      <c r="A57" s="111"/>
      <c r="B57" s="111"/>
      <c r="C57" s="111"/>
      <c r="D57" s="112"/>
      <c r="E57" s="112"/>
      <c r="F57" s="112"/>
      <c r="G57" s="171"/>
      <c r="H57" s="171"/>
      <c r="I57" s="171"/>
      <c r="J57" s="171"/>
      <c r="K57" s="171"/>
      <c r="L57" s="154"/>
      <c r="M57" s="154"/>
      <c r="N57" s="154"/>
    </row>
    <row r="58" spans="1:14" ht="25" customHeight="1" x14ac:dyDescent="0.35">
      <c r="A58" s="111"/>
      <c r="B58" s="111"/>
      <c r="C58" s="111"/>
      <c r="D58" s="112"/>
      <c r="E58" s="112"/>
      <c r="F58" s="112"/>
      <c r="G58" s="171"/>
      <c r="H58" s="171"/>
      <c r="I58" s="171"/>
      <c r="J58" s="171"/>
      <c r="K58" s="171"/>
      <c r="L58" s="154"/>
      <c r="M58" s="154"/>
      <c r="N58" s="154"/>
    </row>
    <row r="59" spans="1:14" ht="25" customHeight="1" x14ac:dyDescent="0.35">
      <c r="A59" s="111"/>
      <c r="B59" s="111"/>
      <c r="C59" s="111"/>
      <c r="D59" s="112"/>
      <c r="E59" s="112"/>
      <c r="F59" s="112"/>
      <c r="G59" s="171"/>
      <c r="H59" s="171"/>
      <c r="I59" s="171"/>
      <c r="J59" s="171"/>
      <c r="K59" s="171"/>
      <c r="L59" s="154"/>
      <c r="M59" s="154"/>
      <c r="N59" s="154"/>
    </row>
    <row r="60" spans="1:14" ht="25" customHeight="1" x14ac:dyDescent="0.35">
      <c r="A60" s="111"/>
      <c r="B60" s="111"/>
      <c r="C60" s="111"/>
      <c r="D60" s="112"/>
      <c r="E60" s="112"/>
      <c r="F60" s="112"/>
      <c r="G60" s="171"/>
      <c r="H60" s="171"/>
      <c r="I60" s="171"/>
      <c r="J60" s="171"/>
      <c r="K60" s="171"/>
      <c r="L60" s="154"/>
      <c r="M60" s="154"/>
      <c r="N60" s="154"/>
    </row>
    <row r="61" spans="1:14" ht="25" customHeight="1" x14ac:dyDescent="0.35">
      <c r="A61" s="111"/>
      <c r="B61" s="111"/>
      <c r="C61" s="111"/>
      <c r="D61" s="112"/>
      <c r="E61" s="112"/>
      <c r="F61" s="112"/>
      <c r="G61" s="171"/>
      <c r="H61" s="171"/>
      <c r="I61" s="171"/>
      <c r="J61" s="171"/>
      <c r="K61" s="171"/>
      <c r="L61" s="154"/>
      <c r="M61" s="154"/>
      <c r="N61" s="154"/>
    </row>
    <row r="62" spans="1:14" ht="25" customHeight="1" x14ac:dyDescent="0.35">
      <c r="A62" s="111"/>
      <c r="B62" s="111"/>
      <c r="C62" s="111"/>
      <c r="D62" s="112"/>
      <c r="E62" s="112"/>
      <c r="F62" s="112"/>
      <c r="G62" s="171"/>
      <c r="H62" s="171"/>
      <c r="I62" s="171"/>
      <c r="J62" s="171"/>
      <c r="K62" s="171"/>
      <c r="L62" s="154"/>
      <c r="M62" s="154"/>
      <c r="N62" s="154"/>
    </row>
    <row r="63" spans="1:14" ht="25" customHeight="1" x14ac:dyDescent="0.35">
      <c r="A63" s="111"/>
      <c r="B63" s="111"/>
      <c r="C63" s="111"/>
      <c r="D63" s="112"/>
      <c r="E63" s="112"/>
      <c r="F63" s="112"/>
      <c r="G63" s="171"/>
      <c r="H63" s="171"/>
      <c r="I63" s="171"/>
      <c r="J63" s="171"/>
      <c r="K63" s="171"/>
      <c r="L63" s="119"/>
      <c r="M63" s="119"/>
      <c r="N63" s="119"/>
    </row>
    <row r="64" spans="1:14" ht="25" customHeight="1" x14ac:dyDescent="0.35">
      <c r="A64" s="111"/>
      <c r="B64" s="111"/>
      <c r="C64" s="111"/>
      <c r="D64" s="112"/>
      <c r="E64" s="112"/>
      <c r="F64" s="112"/>
      <c r="G64" s="171"/>
      <c r="H64" s="171"/>
      <c r="I64" s="171"/>
      <c r="J64" s="171"/>
      <c r="K64" s="171"/>
      <c r="L64" s="119"/>
      <c r="M64" s="119"/>
      <c r="N64" s="119"/>
    </row>
    <row r="65" spans="1:14" ht="25" customHeight="1" x14ac:dyDescent="0.35">
      <c r="A65" s="111"/>
      <c r="B65" s="111"/>
      <c r="C65" s="111"/>
      <c r="D65" s="112"/>
      <c r="E65" s="112"/>
      <c r="F65" s="112"/>
      <c r="G65" s="171"/>
      <c r="H65" s="171"/>
      <c r="I65" s="171"/>
      <c r="J65" s="171"/>
      <c r="K65" s="171"/>
      <c r="L65" s="119"/>
      <c r="M65" s="119"/>
      <c r="N65" s="119"/>
    </row>
    <row r="66" spans="1:14" ht="25" customHeight="1" x14ac:dyDescent="0.35">
      <c r="A66" s="111"/>
      <c r="B66" s="111"/>
      <c r="C66" s="111"/>
      <c r="D66" s="112"/>
      <c r="E66" s="112"/>
      <c r="F66" s="112"/>
      <c r="G66" s="171"/>
      <c r="H66" s="171"/>
      <c r="I66" s="171"/>
      <c r="J66" s="171"/>
      <c r="K66" s="171"/>
      <c r="L66" s="119"/>
      <c r="M66" s="119"/>
      <c r="N66" s="119"/>
    </row>
    <row r="67" spans="1:14" ht="25" customHeight="1" x14ac:dyDescent="0.35">
      <c r="A67" s="111"/>
      <c r="B67" s="111"/>
      <c r="C67" s="111"/>
      <c r="D67" s="112"/>
      <c r="E67" s="112"/>
      <c r="F67" s="112"/>
      <c r="G67" s="171"/>
      <c r="H67" s="171"/>
      <c r="I67" s="171"/>
      <c r="J67" s="171"/>
      <c r="K67" s="171"/>
      <c r="L67" s="119"/>
      <c r="M67" s="119"/>
      <c r="N67" s="119"/>
    </row>
    <row r="68" spans="1:14" ht="25" customHeight="1" x14ac:dyDescent="0.35">
      <c r="A68" s="111"/>
      <c r="B68" s="111"/>
      <c r="C68" s="111"/>
      <c r="D68" s="112"/>
      <c r="E68" s="112"/>
      <c r="F68" s="112"/>
      <c r="G68" s="171"/>
      <c r="H68" s="171"/>
      <c r="I68" s="171"/>
      <c r="J68" s="171"/>
      <c r="K68" s="171"/>
      <c r="L68" s="119"/>
      <c r="M68" s="119"/>
      <c r="N68" s="119"/>
    </row>
    <row r="69" spans="1:14" ht="25" customHeight="1" x14ac:dyDescent="0.35">
      <c r="A69" s="111"/>
      <c r="B69" s="111"/>
      <c r="C69" s="111"/>
      <c r="D69" s="112"/>
      <c r="E69" s="112"/>
      <c r="F69" s="112"/>
      <c r="G69" s="171"/>
      <c r="H69" s="171"/>
      <c r="I69" s="171"/>
      <c r="J69" s="171"/>
      <c r="K69" s="171"/>
      <c r="L69" s="119"/>
      <c r="M69" s="119"/>
      <c r="N69" s="119"/>
    </row>
    <row r="70" spans="1:14" ht="25" customHeight="1" x14ac:dyDescent="0.35">
      <c r="A70" s="111"/>
      <c r="B70" s="111"/>
      <c r="C70" s="111"/>
      <c r="D70" s="112"/>
      <c r="E70" s="112"/>
      <c r="F70" s="112"/>
      <c r="G70" s="171"/>
      <c r="H70" s="171"/>
      <c r="I70" s="171"/>
      <c r="J70" s="171"/>
      <c r="K70" s="171"/>
      <c r="L70" s="119"/>
      <c r="M70" s="119"/>
      <c r="N70" s="119"/>
    </row>
    <row r="71" spans="1:14" ht="25" customHeight="1" x14ac:dyDescent="0.35">
      <c r="A71" s="111"/>
      <c r="B71" s="111"/>
      <c r="C71" s="111"/>
      <c r="D71" s="112"/>
      <c r="E71" s="112"/>
      <c r="F71" s="112"/>
      <c r="G71" s="171"/>
      <c r="H71" s="171"/>
      <c r="I71" s="171"/>
      <c r="J71" s="171"/>
      <c r="K71" s="171"/>
      <c r="L71" s="119"/>
      <c r="M71" s="119"/>
      <c r="N71" s="119"/>
    </row>
    <row r="72" spans="1:14" ht="25" customHeight="1" x14ac:dyDescent="0.35">
      <c r="A72" s="111"/>
      <c r="B72" s="111"/>
      <c r="C72" s="111"/>
      <c r="D72" s="112"/>
      <c r="E72" s="112"/>
      <c r="F72" s="112"/>
      <c r="G72" s="171"/>
      <c r="H72" s="171"/>
      <c r="I72" s="171"/>
      <c r="J72" s="171"/>
      <c r="K72" s="171"/>
      <c r="L72" s="119"/>
      <c r="M72" s="119"/>
      <c r="N72" s="119"/>
    </row>
    <row r="73" spans="1:14" ht="25" customHeight="1" x14ac:dyDescent="0.35">
      <c r="A73" s="111"/>
      <c r="B73" s="111"/>
      <c r="C73" s="111"/>
      <c r="D73" s="112"/>
      <c r="E73" s="112"/>
      <c r="F73" s="112"/>
      <c r="G73" s="171"/>
      <c r="H73" s="171"/>
      <c r="I73" s="171"/>
      <c r="J73" s="171"/>
      <c r="K73" s="171"/>
      <c r="L73" s="119"/>
      <c r="M73" s="119"/>
      <c r="N73" s="119"/>
    </row>
    <row r="74" spans="1:14" ht="25" customHeight="1" x14ac:dyDescent="0.35">
      <c r="A74" s="111"/>
      <c r="B74" s="111"/>
      <c r="C74" s="111"/>
      <c r="D74" s="112"/>
      <c r="E74" s="112"/>
      <c r="F74" s="112"/>
      <c r="G74" s="171"/>
      <c r="H74" s="171"/>
      <c r="I74" s="171"/>
      <c r="J74" s="171"/>
      <c r="K74" s="171"/>
      <c r="L74" s="119"/>
      <c r="M74" s="119"/>
      <c r="N74" s="119"/>
    </row>
    <row r="75" spans="1:14" ht="25" customHeight="1" x14ac:dyDescent="0.35">
      <c r="A75" s="111"/>
      <c r="B75" s="111"/>
      <c r="C75" s="111"/>
      <c r="D75" s="112"/>
      <c r="E75" s="112"/>
      <c r="F75" s="112"/>
      <c r="G75" s="171"/>
      <c r="H75" s="171"/>
      <c r="I75" s="171"/>
      <c r="J75" s="171"/>
      <c r="K75" s="171"/>
      <c r="L75" s="119"/>
      <c r="M75" s="119"/>
      <c r="N75" s="119"/>
    </row>
    <row r="76" spans="1:14" ht="25" customHeight="1" x14ac:dyDescent="0.35">
      <c r="A76" s="111"/>
      <c r="B76" s="111"/>
      <c r="C76" s="111"/>
      <c r="D76" s="112"/>
      <c r="E76" s="112"/>
      <c r="F76" s="112"/>
      <c r="G76" s="171"/>
      <c r="H76" s="171"/>
      <c r="I76" s="171"/>
      <c r="J76" s="171"/>
      <c r="K76" s="171"/>
      <c r="L76" s="119"/>
      <c r="M76" s="119"/>
      <c r="N76" s="119"/>
    </row>
    <row r="77" spans="1:14" ht="25" customHeight="1" x14ac:dyDescent="0.35">
      <c r="A77" s="111"/>
      <c r="B77" s="111"/>
      <c r="C77" s="111"/>
      <c r="D77" s="112"/>
      <c r="E77" s="112"/>
      <c r="F77" s="112"/>
      <c r="G77" s="171"/>
      <c r="H77" s="171"/>
      <c r="I77" s="171"/>
      <c r="J77" s="171"/>
      <c r="K77" s="171"/>
      <c r="L77" s="119"/>
      <c r="M77" s="119"/>
      <c r="N77" s="119"/>
    </row>
    <row r="78" spans="1:14" ht="25" customHeight="1" x14ac:dyDescent="0.35">
      <c r="A78" s="111"/>
      <c r="B78" s="111"/>
      <c r="C78" s="111"/>
      <c r="D78" s="112"/>
      <c r="E78" s="112"/>
      <c r="F78" s="112"/>
      <c r="G78" s="171"/>
      <c r="H78" s="171"/>
      <c r="I78" s="171"/>
      <c r="J78" s="171"/>
      <c r="K78" s="171"/>
      <c r="L78" s="119"/>
      <c r="M78" s="119"/>
      <c r="N78" s="119"/>
    </row>
    <row r="79" spans="1:14" ht="25" customHeight="1" x14ac:dyDescent="0.35">
      <c r="A79" s="111"/>
      <c r="B79" s="111"/>
      <c r="C79" s="111"/>
      <c r="D79" s="112"/>
      <c r="E79" s="112"/>
      <c r="F79" s="112"/>
      <c r="G79" s="171"/>
      <c r="H79" s="171"/>
      <c r="I79" s="171"/>
      <c r="J79" s="171"/>
      <c r="K79" s="171"/>
      <c r="L79" s="119"/>
      <c r="M79" s="119"/>
      <c r="N79" s="119"/>
    </row>
    <row r="80" spans="1:14" ht="25" customHeight="1" x14ac:dyDescent="0.35">
      <c r="A80" s="111"/>
      <c r="B80" s="111"/>
      <c r="C80" s="111"/>
      <c r="D80" s="112"/>
      <c r="E80" s="112"/>
      <c r="F80" s="112"/>
      <c r="G80" s="171"/>
      <c r="H80" s="171"/>
      <c r="I80" s="171"/>
      <c r="J80" s="171"/>
      <c r="K80" s="171"/>
      <c r="L80" s="119"/>
      <c r="M80" s="119"/>
      <c r="N80" s="119"/>
    </row>
    <row r="81" spans="1:14" ht="25" customHeight="1" x14ac:dyDescent="0.35">
      <c r="A81" s="111"/>
      <c r="B81" s="111"/>
      <c r="C81" s="111"/>
      <c r="D81" s="112"/>
      <c r="E81" s="112"/>
      <c r="F81" s="112"/>
      <c r="G81" s="171"/>
      <c r="H81" s="171"/>
      <c r="I81" s="171"/>
      <c r="J81" s="171"/>
      <c r="K81" s="171"/>
      <c r="L81" s="119"/>
      <c r="M81" s="119"/>
      <c r="N81" s="119"/>
    </row>
    <row r="82" spans="1:14" ht="25" customHeight="1" x14ac:dyDescent="0.35">
      <c r="A82" s="111"/>
      <c r="B82" s="111"/>
      <c r="C82" s="111"/>
      <c r="D82" s="112"/>
      <c r="E82" s="112"/>
      <c r="F82" s="112"/>
      <c r="G82" s="171"/>
      <c r="H82" s="171"/>
      <c r="I82" s="171"/>
      <c r="J82" s="171"/>
      <c r="K82" s="171"/>
      <c r="L82" s="119"/>
      <c r="M82" s="119"/>
      <c r="N82" s="119"/>
    </row>
    <row r="83" spans="1:14" ht="25" customHeight="1" x14ac:dyDescent="0.35">
      <c r="A83" s="111"/>
      <c r="B83" s="111"/>
      <c r="C83" s="111"/>
      <c r="D83" s="112"/>
      <c r="E83" s="112"/>
      <c r="F83" s="112"/>
      <c r="G83" s="171"/>
      <c r="H83" s="171"/>
      <c r="I83" s="171"/>
      <c r="J83" s="171"/>
      <c r="K83" s="171"/>
      <c r="L83" s="119"/>
      <c r="M83" s="119"/>
      <c r="N83" s="119"/>
    </row>
    <row r="84" spans="1:14" ht="25" customHeight="1" x14ac:dyDescent="0.35">
      <c r="A84" s="111"/>
      <c r="B84" s="111"/>
      <c r="C84" s="111"/>
      <c r="D84" s="112"/>
      <c r="E84" s="112"/>
      <c r="F84" s="112"/>
      <c r="G84" s="117"/>
      <c r="H84" s="117"/>
      <c r="I84" s="117"/>
      <c r="J84" s="117"/>
      <c r="K84" s="117"/>
      <c r="L84" s="119"/>
      <c r="M84" s="119"/>
      <c r="N84" s="119"/>
    </row>
    <row r="85" spans="1:14" ht="25" customHeight="1" x14ac:dyDescent="0.35">
      <c r="A85" s="111"/>
      <c r="B85" s="111"/>
      <c r="C85" s="111"/>
      <c r="D85" s="112"/>
      <c r="E85" s="112"/>
      <c r="F85" s="112"/>
      <c r="G85" s="117"/>
      <c r="H85" s="117"/>
      <c r="I85" s="117"/>
      <c r="J85" s="117"/>
      <c r="K85" s="117"/>
      <c r="L85" s="119"/>
      <c r="M85" s="119"/>
      <c r="N85" s="119"/>
    </row>
    <row r="86" spans="1:14" ht="25" customHeight="1" x14ac:dyDescent="0.35">
      <c r="A86" s="111"/>
      <c r="B86" s="111"/>
      <c r="C86" s="111"/>
      <c r="D86" s="112"/>
      <c r="E86" s="112"/>
      <c r="F86" s="112"/>
      <c r="G86" s="117"/>
      <c r="H86" s="117"/>
      <c r="I86" s="117"/>
      <c r="J86" s="117"/>
      <c r="K86" s="117"/>
      <c r="L86" s="119"/>
      <c r="M86" s="119"/>
      <c r="N86" s="119"/>
    </row>
    <row r="87" spans="1:14" ht="25" customHeight="1" x14ac:dyDescent="0.35">
      <c r="A87" s="111"/>
      <c r="B87" s="111"/>
      <c r="C87" s="111"/>
      <c r="D87" s="112"/>
      <c r="E87" s="112"/>
      <c r="F87" s="112"/>
      <c r="G87" s="117"/>
      <c r="H87" s="117"/>
      <c r="I87" s="117"/>
      <c r="J87" s="117"/>
      <c r="K87" s="117"/>
      <c r="L87" s="119"/>
      <c r="M87" s="119"/>
      <c r="N87" s="119"/>
    </row>
    <row r="88" spans="1:14" ht="25" customHeight="1" x14ac:dyDescent="0.35">
      <c r="A88" s="111"/>
      <c r="B88" s="111"/>
      <c r="C88" s="111"/>
      <c r="D88" s="112"/>
      <c r="E88" s="112"/>
      <c r="F88" s="112"/>
      <c r="G88" s="117"/>
      <c r="H88" s="117"/>
      <c r="I88" s="117"/>
      <c r="J88" s="117"/>
      <c r="K88" s="117"/>
      <c r="L88" s="119"/>
      <c r="M88" s="119"/>
      <c r="N88" s="119"/>
    </row>
    <row r="89" spans="1:14" ht="25" customHeight="1" x14ac:dyDescent="0.35">
      <c r="A89" s="111"/>
      <c r="B89" s="111"/>
      <c r="C89" s="111"/>
      <c r="D89" s="112"/>
      <c r="E89" s="112"/>
      <c r="F89" s="112"/>
      <c r="G89" s="117"/>
      <c r="H89" s="117"/>
      <c r="I89" s="117"/>
      <c r="J89" s="117"/>
      <c r="K89" s="117"/>
      <c r="L89" s="119"/>
      <c r="M89" s="119"/>
      <c r="N89" s="119"/>
    </row>
    <row r="90" spans="1:14" ht="25" customHeight="1" x14ac:dyDescent="0.35">
      <c r="A90" s="111"/>
      <c r="B90" s="111"/>
      <c r="C90" s="111"/>
      <c r="D90" s="112"/>
      <c r="E90" s="112"/>
      <c r="F90" s="112"/>
      <c r="G90" s="117"/>
      <c r="H90" s="117"/>
      <c r="I90" s="117"/>
      <c r="J90" s="117"/>
      <c r="K90" s="117"/>
      <c r="L90" s="119"/>
      <c r="M90" s="119"/>
      <c r="N90" s="119"/>
    </row>
    <row r="91" spans="1:14" ht="25" customHeight="1" x14ac:dyDescent="0.35">
      <c r="A91" s="111"/>
      <c r="B91" s="111"/>
      <c r="C91" s="111"/>
      <c r="D91" s="112"/>
      <c r="E91" s="112"/>
      <c r="F91" s="112"/>
      <c r="G91" s="117"/>
      <c r="H91" s="117"/>
      <c r="I91" s="117"/>
      <c r="J91" s="117"/>
      <c r="K91" s="117"/>
      <c r="L91" s="119"/>
      <c r="M91" s="119"/>
      <c r="N91" s="119"/>
    </row>
    <row r="92" spans="1:14" ht="25" customHeight="1" x14ac:dyDescent="0.35">
      <c r="A92" s="111"/>
      <c r="B92" s="111"/>
      <c r="C92" s="111"/>
      <c r="D92" s="112"/>
      <c r="E92" s="112"/>
      <c r="F92" s="112"/>
      <c r="G92" s="117"/>
      <c r="H92" s="117"/>
      <c r="I92" s="117"/>
      <c r="J92" s="117"/>
      <c r="K92" s="117"/>
      <c r="L92" s="119"/>
      <c r="M92" s="119"/>
      <c r="N92" s="119"/>
    </row>
    <row r="93" spans="1:14" ht="25" customHeight="1" x14ac:dyDescent="0.35">
      <c r="A93" s="111"/>
      <c r="B93" s="111"/>
      <c r="C93" s="111"/>
      <c r="D93" s="112"/>
      <c r="E93" s="112"/>
      <c r="F93" s="112"/>
      <c r="G93" s="117"/>
      <c r="H93" s="117"/>
      <c r="I93" s="117"/>
      <c r="J93" s="117"/>
      <c r="K93" s="117"/>
      <c r="L93" s="119"/>
      <c r="M93" s="119"/>
      <c r="N93" s="119"/>
    </row>
    <row r="94" spans="1:14" ht="25" customHeight="1" x14ac:dyDescent="0.35">
      <c r="A94" s="111"/>
      <c r="B94" s="111"/>
      <c r="C94" s="111"/>
      <c r="D94" s="112"/>
      <c r="E94" s="112"/>
      <c r="F94" s="112"/>
      <c r="G94" s="117"/>
      <c r="H94" s="117"/>
      <c r="I94" s="117"/>
      <c r="J94" s="117"/>
      <c r="K94" s="117"/>
      <c r="L94" s="119"/>
      <c r="M94" s="119"/>
      <c r="N94" s="119"/>
    </row>
    <row r="95" spans="1:14" ht="25" customHeight="1" x14ac:dyDescent="0.35">
      <c r="A95" s="111"/>
      <c r="B95" s="111"/>
      <c r="C95" s="111"/>
      <c r="D95" s="112"/>
      <c r="E95" s="112"/>
      <c r="F95" s="112"/>
      <c r="G95" s="117"/>
      <c r="H95" s="117"/>
      <c r="I95" s="117"/>
      <c r="J95" s="117"/>
      <c r="K95" s="117"/>
      <c r="L95" s="119"/>
      <c r="M95" s="119"/>
      <c r="N95" s="119"/>
    </row>
    <row r="96" spans="1:14" ht="25" customHeight="1" x14ac:dyDescent="0.35">
      <c r="A96" s="111"/>
      <c r="B96" s="111"/>
      <c r="C96" s="111"/>
      <c r="D96" s="112"/>
      <c r="E96" s="112"/>
      <c r="F96" s="112"/>
      <c r="G96" s="117"/>
      <c r="H96" s="117"/>
      <c r="I96" s="117"/>
      <c r="J96" s="117"/>
      <c r="K96" s="117"/>
      <c r="L96" s="119"/>
      <c r="M96" s="119"/>
      <c r="N96" s="119"/>
    </row>
    <row r="97" spans="1:14" ht="25" customHeight="1" x14ac:dyDescent="0.35">
      <c r="A97" s="111"/>
      <c r="B97" s="111"/>
      <c r="C97" s="111"/>
      <c r="D97" s="112"/>
      <c r="E97" s="112"/>
      <c r="F97" s="112"/>
      <c r="G97" s="117"/>
      <c r="H97" s="117"/>
      <c r="I97" s="117"/>
      <c r="J97" s="117"/>
      <c r="K97" s="117"/>
      <c r="L97" s="119"/>
      <c r="M97" s="119"/>
      <c r="N97" s="119"/>
    </row>
    <row r="98" spans="1:14" ht="25" customHeight="1" x14ac:dyDescent="0.35">
      <c r="A98" s="111"/>
      <c r="B98" s="111"/>
      <c r="C98" s="111"/>
      <c r="D98" s="112"/>
      <c r="E98" s="112"/>
      <c r="F98" s="112"/>
      <c r="G98" s="117"/>
      <c r="H98" s="117"/>
      <c r="I98" s="117"/>
      <c r="J98" s="117"/>
      <c r="K98" s="117"/>
      <c r="L98" s="119"/>
      <c r="M98" s="119"/>
      <c r="N98" s="119"/>
    </row>
    <row r="99" spans="1:14" ht="25" customHeight="1" x14ac:dyDescent="0.35">
      <c r="A99" s="111"/>
      <c r="B99" s="111"/>
      <c r="C99" s="111"/>
      <c r="D99" s="112"/>
      <c r="E99" s="112"/>
      <c r="F99" s="112"/>
      <c r="G99" s="117"/>
      <c r="H99" s="117"/>
      <c r="I99" s="117"/>
      <c r="J99" s="117"/>
      <c r="K99" s="117"/>
      <c r="L99" s="119"/>
      <c r="M99" s="119"/>
      <c r="N99" s="119"/>
    </row>
    <row r="100" spans="1:14" ht="25" customHeight="1" x14ac:dyDescent="0.35">
      <c r="A100" s="111"/>
      <c r="B100" s="111"/>
      <c r="C100" s="111"/>
      <c r="D100" s="112"/>
      <c r="E100" s="112"/>
      <c r="F100" s="112"/>
      <c r="G100" s="117"/>
      <c r="H100" s="117"/>
      <c r="I100" s="117"/>
      <c r="J100" s="117"/>
      <c r="K100" s="117"/>
      <c r="L100" s="119"/>
      <c r="M100" s="119"/>
      <c r="N100" s="119"/>
    </row>
    <row r="101" spans="1:14" ht="25" customHeight="1" x14ac:dyDescent="0.35">
      <c r="A101" s="111"/>
      <c r="B101" s="111"/>
      <c r="C101" s="111"/>
      <c r="D101" s="112"/>
      <c r="E101" s="112"/>
      <c r="F101" s="112"/>
      <c r="G101" s="117"/>
      <c r="H101" s="117"/>
      <c r="I101" s="117"/>
      <c r="J101" s="117"/>
      <c r="K101" s="117"/>
      <c r="L101" s="119"/>
      <c r="M101" s="119"/>
      <c r="N101" s="119"/>
    </row>
    <row r="102" spans="1:14" ht="25" customHeight="1" x14ac:dyDescent="0.35">
      <c r="A102" s="111"/>
      <c r="B102" s="111"/>
      <c r="C102" s="111"/>
      <c r="D102" s="112"/>
      <c r="E102" s="112"/>
      <c r="F102" s="112"/>
      <c r="G102" s="117"/>
      <c r="H102" s="117"/>
      <c r="I102" s="117"/>
      <c r="J102" s="117"/>
      <c r="K102" s="117"/>
      <c r="L102" s="119"/>
      <c r="M102" s="119"/>
      <c r="N102" s="119"/>
    </row>
    <row r="103" spans="1:14" ht="25" customHeight="1" x14ac:dyDescent="0.35">
      <c r="A103" s="111"/>
      <c r="B103" s="111"/>
      <c r="C103" s="111"/>
      <c r="D103" s="112"/>
      <c r="E103" s="112"/>
      <c r="F103" s="112"/>
      <c r="G103" s="117"/>
      <c r="H103" s="117"/>
      <c r="I103" s="117"/>
      <c r="J103" s="117"/>
      <c r="K103" s="117"/>
      <c r="L103" s="119"/>
      <c r="M103" s="119"/>
      <c r="N103" s="119"/>
    </row>
    <row r="104" spans="1:14" ht="25" customHeight="1" x14ac:dyDescent="0.35">
      <c r="A104" s="111"/>
      <c r="B104" s="111"/>
      <c r="C104" s="111"/>
      <c r="D104" s="112"/>
      <c r="E104" s="112"/>
      <c r="F104" s="112"/>
      <c r="G104" s="117"/>
      <c r="H104" s="117"/>
      <c r="I104" s="117"/>
      <c r="J104" s="117"/>
      <c r="K104" s="117"/>
      <c r="L104" s="119"/>
      <c r="M104" s="119"/>
      <c r="N104" s="119"/>
    </row>
    <row r="105" spans="1:14" ht="25" customHeight="1" x14ac:dyDescent="0.35">
      <c r="A105" s="111"/>
      <c r="B105" s="111"/>
      <c r="C105" s="111"/>
      <c r="D105" s="112"/>
      <c r="E105" s="112"/>
      <c r="F105" s="112"/>
      <c r="G105" s="117"/>
      <c r="H105" s="117"/>
      <c r="I105" s="117"/>
      <c r="J105" s="117"/>
      <c r="K105" s="117"/>
      <c r="L105" s="119"/>
      <c r="M105" s="119"/>
      <c r="N105" s="119"/>
    </row>
    <row r="106" spans="1:14" ht="25" customHeight="1" x14ac:dyDescent="0.35">
      <c r="A106" s="111"/>
      <c r="B106" s="111"/>
      <c r="C106" s="111"/>
      <c r="D106" s="112"/>
      <c r="E106" s="112"/>
      <c r="F106" s="112"/>
      <c r="G106" s="117"/>
      <c r="H106" s="117"/>
      <c r="I106" s="117"/>
      <c r="J106" s="117"/>
      <c r="K106" s="117"/>
      <c r="L106" s="119"/>
      <c r="M106" s="119"/>
      <c r="N106" s="119"/>
    </row>
    <row r="107" spans="1:14" ht="25" customHeight="1" x14ac:dyDescent="0.35">
      <c r="A107" s="111"/>
      <c r="B107" s="111"/>
      <c r="C107" s="111"/>
      <c r="D107" s="112"/>
      <c r="E107" s="112"/>
      <c r="F107" s="112"/>
      <c r="G107" s="117"/>
      <c r="H107" s="117"/>
      <c r="I107" s="117"/>
      <c r="J107" s="117"/>
      <c r="K107" s="117"/>
      <c r="L107" s="119"/>
      <c r="M107" s="119"/>
      <c r="N107" s="119"/>
    </row>
    <row r="108" spans="1:14" ht="25" customHeight="1" x14ac:dyDescent="0.35">
      <c r="A108" s="111"/>
      <c r="B108" s="111"/>
      <c r="C108" s="111"/>
      <c r="D108" s="112"/>
      <c r="E108" s="112"/>
      <c r="F108" s="112"/>
      <c r="G108" s="117"/>
      <c r="H108" s="117"/>
      <c r="I108" s="117"/>
      <c r="J108" s="117"/>
      <c r="K108" s="117"/>
      <c r="L108" s="119"/>
      <c r="M108" s="119"/>
      <c r="N108" s="119"/>
    </row>
    <row r="109" spans="1:14" ht="25" customHeight="1" x14ac:dyDescent="0.35">
      <c r="A109" s="111"/>
      <c r="B109" s="111"/>
      <c r="C109" s="111"/>
      <c r="D109" s="112"/>
      <c r="E109" s="112"/>
      <c r="F109" s="112"/>
      <c r="G109" s="117"/>
      <c r="H109" s="117"/>
      <c r="I109" s="117"/>
      <c r="J109" s="117"/>
      <c r="K109" s="117"/>
      <c r="L109" s="119"/>
      <c r="M109" s="119"/>
      <c r="N109" s="119"/>
    </row>
    <row r="110" spans="1:14" ht="25" customHeight="1" x14ac:dyDescent="0.35">
      <c r="A110" s="111"/>
      <c r="B110" s="111"/>
      <c r="C110" s="111"/>
      <c r="D110" s="112"/>
      <c r="E110" s="112"/>
      <c r="F110" s="112"/>
      <c r="G110" s="117"/>
      <c r="H110" s="117"/>
      <c r="I110" s="117"/>
      <c r="J110" s="117"/>
      <c r="K110" s="117"/>
      <c r="L110" s="119"/>
      <c r="M110" s="119"/>
      <c r="N110" s="119"/>
    </row>
    <row r="111" spans="1:14" ht="25" customHeight="1" x14ac:dyDescent="0.35">
      <c r="A111" s="111"/>
      <c r="B111" s="111"/>
      <c r="C111" s="111"/>
      <c r="D111" s="112"/>
      <c r="E111" s="112"/>
      <c r="F111" s="112"/>
      <c r="G111" s="117"/>
      <c r="H111" s="117"/>
      <c r="I111" s="117"/>
      <c r="J111" s="117"/>
      <c r="K111" s="117"/>
      <c r="L111" s="119"/>
      <c r="M111" s="119"/>
      <c r="N111" s="119"/>
    </row>
    <row r="112" spans="1:14" ht="25" customHeight="1" x14ac:dyDescent="0.35">
      <c r="A112" s="111"/>
      <c r="B112" s="111"/>
      <c r="C112" s="111"/>
      <c r="D112" s="112"/>
      <c r="E112" s="112"/>
      <c r="F112" s="112"/>
      <c r="G112" s="117"/>
      <c r="H112" s="117"/>
      <c r="I112" s="117"/>
      <c r="J112" s="117"/>
      <c r="K112" s="117"/>
      <c r="L112" s="119"/>
      <c r="M112" s="119"/>
      <c r="N112" s="119"/>
    </row>
    <row r="113" spans="1:14" ht="25" customHeight="1" x14ac:dyDescent="0.35">
      <c r="A113" s="111"/>
      <c r="B113" s="111"/>
      <c r="C113" s="111"/>
      <c r="D113" s="112"/>
      <c r="E113" s="112"/>
      <c r="F113" s="112"/>
      <c r="G113" s="117"/>
      <c r="H113" s="117"/>
      <c r="I113" s="117"/>
      <c r="J113" s="117"/>
      <c r="K113" s="117"/>
      <c r="L113" s="119"/>
      <c r="M113" s="119"/>
      <c r="N113" s="119"/>
    </row>
    <row r="114" spans="1:14" ht="25" customHeight="1" x14ac:dyDescent="0.35">
      <c r="A114" s="111"/>
      <c r="B114" s="111"/>
      <c r="C114" s="111"/>
      <c r="D114" s="112"/>
      <c r="E114" s="112"/>
      <c r="F114" s="112"/>
      <c r="G114" s="117"/>
      <c r="H114" s="117"/>
      <c r="I114" s="117"/>
      <c r="J114" s="117"/>
      <c r="K114" s="117"/>
      <c r="L114" s="119"/>
      <c r="M114" s="119"/>
      <c r="N114" s="119"/>
    </row>
    <row r="115" spans="1:14" ht="25" customHeight="1" x14ac:dyDescent="0.35">
      <c r="A115" s="111"/>
      <c r="B115" s="111"/>
      <c r="C115" s="111"/>
      <c r="D115" s="112"/>
      <c r="E115" s="112"/>
      <c r="F115" s="112"/>
      <c r="G115" s="117"/>
      <c r="H115" s="117"/>
      <c r="I115" s="117"/>
      <c r="J115" s="117"/>
      <c r="K115" s="117"/>
      <c r="L115" s="119"/>
      <c r="M115" s="119"/>
      <c r="N115" s="119"/>
    </row>
    <row r="116" spans="1:14" ht="25" customHeight="1" x14ac:dyDescent="0.35">
      <c r="A116" s="111"/>
      <c r="B116" s="111"/>
      <c r="C116" s="111"/>
      <c r="D116" s="112"/>
      <c r="E116" s="112"/>
      <c r="F116" s="112"/>
      <c r="G116" s="117"/>
      <c r="H116" s="117"/>
      <c r="I116" s="117"/>
      <c r="J116" s="117"/>
      <c r="K116" s="117"/>
      <c r="L116" s="119"/>
      <c r="M116" s="119"/>
      <c r="N116" s="119"/>
    </row>
    <row r="117" spans="1:14" ht="25" customHeight="1" x14ac:dyDescent="0.35">
      <c r="A117" s="111"/>
      <c r="B117" s="111"/>
      <c r="C117" s="111"/>
      <c r="D117" s="112"/>
      <c r="E117" s="112"/>
      <c r="F117" s="112"/>
      <c r="G117" s="117"/>
      <c r="H117" s="117"/>
      <c r="I117" s="117"/>
      <c r="J117" s="117"/>
      <c r="K117" s="117"/>
      <c r="L117" s="119"/>
      <c r="M117" s="119"/>
      <c r="N117" s="119"/>
    </row>
    <row r="118" spans="1:14" ht="25" customHeight="1" x14ac:dyDescent="0.35">
      <c r="A118" s="111"/>
      <c r="B118" s="111"/>
      <c r="C118" s="111"/>
      <c r="D118" s="112"/>
      <c r="E118" s="112"/>
      <c r="F118" s="112"/>
      <c r="G118" s="117"/>
      <c r="H118" s="117"/>
      <c r="I118" s="117"/>
      <c r="J118" s="117"/>
      <c r="K118" s="117"/>
      <c r="L118" s="119"/>
      <c r="M118" s="119"/>
      <c r="N118" s="119"/>
    </row>
    <row r="119" spans="1:14" ht="25" customHeight="1" x14ac:dyDescent="0.35">
      <c r="A119" s="111"/>
      <c r="B119" s="111"/>
      <c r="C119" s="111"/>
      <c r="D119" s="112"/>
      <c r="E119" s="112"/>
      <c r="F119" s="112"/>
      <c r="G119" s="117"/>
      <c r="H119" s="117"/>
      <c r="I119" s="117"/>
      <c r="J119" s="117"/>
      <c r="K119" s="117"/>
      <c r="L119" s="119"/>
      <c r="M119" s="119"/>
      <c r="N119" s="119"/>
    </row>
    <row r="120" spans="1:14" ht="25" customHeight="1" x14ac:dyDescent="0.35">
      <c r="A120" s="111"/>
      <c r="B120" s="111"/>
      <c r="C120" s="111"/>
      <c r="D120" s="112"/>
      <c r="E120" s="112"/>
      <c r="F120" s="112"/>
      <c r="G120" s="117"/>
      <c r="H120" s="117"/>
      <c r="I120" s="117"/>
      <c r="J120" s="117"/>
      <c r="K120" s="117"/>
      <c r="L120" s="119"/>
      <c r="M120" s="119"/>
      <c r="N120" s="119"/>
    </row>
    <row r="121" spans="1:14" ht="25" customHeight="1" x14ac:dyDescent="0.35">
      <c r="A121" s="111"/>
      <c r="B121" s="111"/>
      <c r="C121" s="111"/>
      <c r="D121" s="112"/>
      <c r="E121" s="112"/>
      <c r="F121" s="112"/>
      <c r="G121" s="117"/>
      <c r="H121" s="117"/>
      <c r="I121" s="117"/>
      <c r="J121" s="117"/>
      <c r="K121" s="117"/>
      <c r="L121" s="119"/>
      <c r="M121" s="119"/>
      <c r="N121" s="119"/>
    </row>
    <row r="122" spans="1:14" ht="25" customHeight="1" x14ac:dyDescent="0.35">
      <c r="A122" s="111"/>
      <c r="B122" s="111"/>
      <c r="C122" s="111"/>
      <c r="D122" s="112"/>
      <c r="E122" s="112"/>
      <c r="F122" s="112"/>
      <c r="G122" s="117"/>
      <c r="H122" s="117"/>
      <c r="I122" s="117"/>
      <c r="J122" s="117"/>
      <c r="K122" s="117"/>
      <c r="L122" s="119"/>
      <c r="M122" s="119"/>
      <c r="N122" s="119"/>
    </row>
    <row r="123" spans="1:14" ht="25" customHeight="1" x14ac:dyDescent="0.35">
      <c r="A123" s="111"/>
      <c r="B123" s="111"/>
      <c r="C123" s="111"/>
      <c r="D123" s="112"/>
      <c r="E123" s="112"/>
      <c r="F123" s="112"/>
      <c r="G123" s="117"/>
      <c r="H123" s="117"/>
      <c r="I123" s="117"/>
      <c r="J123" s="117"/>
      <c r="K123" s="117"/>
      <c r="L123" s="119"/>
      <c r="M123" s="119"/>
      <c r="N123" s="119"/>
    </row>
    <row r="124" spans="1:14" ht="25" customHeight="1" x14ac:dyDescent="0.35">
      <c r="A124" s="111"/>
      <c r="B124" s="111"/>
      <c r="C124" s="111"/>
      <c r="D124" s="112"/>
      <c r="E124" s="112"/>
      <c r="F124" s="112"/>
      <c r="G124" s="117"/>
      <c r="H124" s="117"/>
      <c r="I124" s="117"/>
      <c r="J124" s="117"/>
      <c r="K124" s="117"/>
      <c r="L124" s="119"/>
      <c r="M124" s="119"/>
      <c r="N124" s="119"/>
    </row>
    <row r="125" spans="1:14" ht="25" customHeight="1" x14ac:dyDescent="0.35">
      <c r="A125" s="111"/>
      <c r="B125" s="111"/>
      <c r="C125" s="111"/>
      <c r="D125" s="112"/>
      <c r="E125" s="112"/>
      <c r="F125" s="112"/>
      <c r="G125" s="117"/>
      <c r="H125" s="117"/>
      <c r="I125" s="117"/>
      <c r="J125" s="117"/>
      <c r="K125" s="117"/>
      <c r="L125" s="119"/>
      <c r="M125" s="119"/>
      <c r="N125" s="119"/>
    </row>
    <row r="126" spans="1:14" ht="25" customHeight="1" x14ac:dyDescent="0.35">
      <c r="A126" s="111"/>
      <c r="B126" s="111"/>
      <c r="C126" s="111"/>
      <c r="D126" s="112"/>
      <c r="E126" s="112"/>
      <c r="F126" s="112"/>
      <c r="G126" s="117"/>
      <c r="H126" s="117"/>
      <c r="I126" s="117"/>
      <c r="J126" s="117"/>
      <c r="K126" s="117"/>
      <c r="L126" s="119"/>
      <c r="M126" s="119"/>
      <c r="N126" s="119"/>
    </row>
    <row r="127" spans="1:14" ht="25" customHeight="1" x14ac:dyDescent="0.35">
      <c r="A127" s="111"/>
      <c r="B127" s="111"/>
      <c r="C127" s="111"/>
      <c r="D127" s="112"/>
      <c r="E127" s="112"/>
      <c r="F127" s="112"/>
      <c r="G127" s="117"/>
      <c r="H127" s="117"/>
      <c r="I127" s="117"/>
      <c r="J127" s="117"/>
      <c r="K127" s="117"/>
      <c r="L127" s="119"/>
      <c r="M127" s="119"/>
      <c r="N127" s="119"/>
    </row>
    <row r="128" spans="1:14" ht="25" customHeight="1" x14ac:dyDescent="0.35">
      <c r="A128" s="111"/>
      <c r="B128" s="111"/>
      <c r="C128" s="111"/>
      <c r="D128" s="112"/>
      <c r="E128" s="112"/>
      <c r="F128" s="112"/>
      <c r="G128" s="117"/>
      <c r="H128" s="117"/>
      <c r="I128" s="117"/>
      <c r="J128" s="117"/>
      <c r="K128" s="117"/>
      <c r="L128" s="119"/>
      <c r="M128" s="119"/>
      <c r="N128" s="119"/>
    </row>
    <row r="129" spans="1:14" ht="25" customHeight="1" x14ac:dyDescent="0.35">
      <c r="A129" s="111"/>
      <c r="B129" s="111"/>
      <c r="C129" s="111"/>
      <c r="D129" s="112"/>
      <c r="E129" s="112"/>
      <c r="F129" s="112"/>
      <c r="G129" s="117"/>
      <c r="H129" s="117"/>
      <c r="I129" s="117"/>
      <c r="J129" s="117"/>
      <c r="K129" s="117"/>
      <c r="L129" s="119"/>
      <c r="M129" s="119"/>
      <c r="N129" s="119"/>
    </row>
    <row r="130" spans="1:14" ht="25" customHeight="1" x14ac:dyDescent="0.35">
      <c r="A130" s="111"/>
      <c r="B130" s="111"/>
      <c r="C130" s="111"/>
      <c r="D130" s="112"/>
      <c r="E130" s="112"/>
      <c r="F130" s="112"/>
      <c r="G130" s="117"/>
      <c r="H130" s="117"/>
      <c r="I130" s="117"/>
      <c r="J130" s="117"/>
      <c r="K130" s="117"/>
      <c r="L130" s="119"/>
      <c r="M130" s="119"/>
      <c r="N130" s="119"/>
    </row>
    <row r="131" spans="1:14" ht="25" customHeight="1" x14ac:dyDescent="0.35">
      <c r="A131" s="111"/>
      <c r="B131" s="111"/>
      <c r="C131" s="111"/>
      <c r="D131" s="112"/>
      <c r="E131" s="112"/>
      <c r="F131" s="112"/>
      <c r="G131" s="117"/>
      <c r="H131" s="117"/>
      <c r="I131" s="117"/>
      <c r="J131" s="117"/>
      <c r="K131" s="117"/>
      <c r="L131" s="119"/>
      <c r="M131" s="119"/>
      <c r="N131" s="119"/>
    </row>
    <row r="132" spans="1:14" ht="25" customHeight="1" x14ac:dyDescent="0.35">
      <c r="A132" s="111"/>
      <c r="B132" s="111"/>
      <c r="C132" s="111"/>
      <c r="D132" s="112"/>
      <c r="E132" s="112"/>
      <c r="F132" s="112"/>
      <c r="G132" s="117"/>
      <c r="H132" s="117"/>
      <c r="I132" s="117"/>
      <c r="J132" s="117"/>
      <c r="K132" s="117"/>
      <c r="L132" s="119"/>
      <c r="M132" s="119"/>
      <c r="N132" s="119"/>
    </row>
    <row r="133" spans="1:14" ht="25" customHeight="1" x14ac:dyDescent="0.35">
      <c r="A133" s="111"/>
      <c r="B133" s="111"/>
      <c r="C133" s="111"/>
      <c r="D133" s="112"/>
      <c r="E133" s="112"/>
      <c r="F133" s="112"/>
      <c r="G133" s="117"/>
      <c r="H133" s="117"/>
      <c r="I133" s="117"/>
      <c r="J133" s="117"/>
      <c r="K133" s="117"/>
      <c r="L133" s="119"/>
      <c r="M133" s="119"/>
      <c r="N133" s="119"/>
    </row>
    <row r="134" spans="1:14" ht="25" customHeight="1" x14ac:dyDescent="0.35">
      <c r="A134" s="111"/>
      <c r="B134" s="111"/>
      <c r="C134" s="111"/>
      <c r="D134" s="112"/>
      <c r="E134" s="112"/>
      <c r="F134" s="112"/>
      <c r="G134" s="117"/>
      <c r="H134" s="117"/>
      <c r="I134" s="117"/>
      <c r="J134" s="117"/>
      <c r="K134" s="117"/>
      <c r="L134" s="119"/>
      <c r="M134" s="119"/>
      <c r="N134" s="119"/>
    </row>
    <row r="135" spans="1:14" ht="25" customHeight="1" x14ac:dyDescent="0.35">
      <c r="A135" s="111"/>
      <c r="B135" s="111"/>
      <c r="C135" s="111"/>
      <c r="D135" s="112"/>
      <c r="E135" s="112"/>
      <c r="F135" s="112"/>
      <c r="G135" s="117"/>
      <c r="H135" s="117"/>
      <c r="I135" s="117"/>
      <c r="J135" s="117"/>
      <c r="K135" s="117"/>
      <c r="L135" s="119"/>
      <c r="M135" s="119"/>
      <c r="N135" s="119"/>
    </row>
    <row r="136" spans="1:14" ht="25" customHeight="1" x14ac:dyDescent="0.35">
      <c r="A136" s="111"/>
      <c r="B136" s="111"/>
      <c r="C136" s="111"/>
      <c r="D136" s="112"/>
      <c r="E136" s="112"/>
      <c r="F136" s="112"/>
      <c r="G136" s="117"/>
      <c r="H136" s="117"/>
      <c r="I136" s="117"/>
      <c r="J136" s="117"/>
      <c r="K136" s="117"/>
      <c r="L136" s="119"/>
      <c r="M136" s="119"/>
      <c r="N136" s="119"/>
    </row>
    <row r="137" spans="1:14" ht="25" customHeight="1" x14ac:dyDescent="0.35">
      <c r="A137" s="111"/>
      <c r="B137" s="111"/>
      <c r="C137" s="111"/>
      <c r="D137" s="112"/>
      <c r="E137" s="112"/>
      <c r="F137" s="112"/>
      <c r="G137" s="117"/>
      <c r="H137" s="117"/>
      <c r="I137" s="117"/>
      <c r="J137" s="117"/>
      <c r="K137" s="117"/>
      <c r="L137" s="119"/>
      <c r="M137" s="119"/>
      <c r="N137" s="119"/>
    </row>
    <row r="138" spans="1:14" ht="25" customHeight="1" x14ac:dyDescent="0.35">
      <c r="A138" s="111"/>
      <c r="B138" s="111"/>
      <c r="C138" s="111"/>
      <c r="D138" s="112"/>
      <c r="E138" s="112"/>
      <c r="F138" s="112"/>
      <c r="G138" s="117"/>
      <c r="H138" s="117"/>
      <c r="I138" s="117"/>
      <c r="J138" s="117"/>
      <c r="K138" s="117"/>
      <c r="L138" s="119"/>
      <c r="M138" s="119"/>
      <c r="N138" s="119"/>
    </row>
    <row r="139" spans="1:14" ht="25" customHeight="1" x14ac:dyDescent="0.35">
      <c r="A139" s="111"/>
      <c r="B139" s="111"/>
      <c r="C139" s="111"/>
      <c r="D139" s="112"/>
      <c r="E139" s="112"/>
      <c r="F139" s="112"/>
      <c r="G139" s="117"/>
      <c r="H139" s="117"/>
      <c r="I139" s="117"/>
      <c r="J139" s="117"/>
      <c r="K139" s="117"/>
      <c r="L139" s="119"/>
      <c r="M139" s="119"/>
      <c r="N139" s="119"/>
    </row>
    <row r="140" spans="1:14" ht="25" customHeight="1" x14ac:dyDescent="0.35">
      <c r="A140" s="111"/>
      <c r="B140" s="111"/>
      <c r="C140" s="111"/>
      <c r="D140" s="112"/>
      <c r="E140" s="112"/>
      <c r="F140" s="112"/>
      <c r="G140" s="117"/>
      <c r="H140" s="117"/>
      <c r="I140" s="117"/>
      <c r="J140" s="117"/>
      <c r="K140" s="117"/>
      <c r="L140" s="119"/>
      <c r="M140" s="119"/>
      <c r="N140" s="119"/>
    </row>
    <row r="141" spans="1:14" ht="25" customHeight="1" x14ac:dyDescent="0.35">
      <c r="A141" s="111"/>
      <c r="B141" s="111"/>
      <c r="C141" s="111"/>
      <c r="D141" s="112"/>
      <c r="E141" s="112"/>
      <c r="F141" s="112"/>
      <c r="G141" s="117"/>
      <c r="H141" s="117"/>
      <c r="I141" s="117"/>
      <c r="J141" s="117"/>
      <c r="K141" s="117"/>
      <c r="L141" s="119"/>
      <c r="M141" s="119"/>
      <c r="N141" s="119"/>
    </row>
    <row r="142" spans="1:14" ht="25" customHeight="1" x14ac:dyDescent="0.35">
      <c r="A142" s="111"/>
      <c r="B142" s="111"/>
      <c r="C142" s="111"/>
      <c r="D142" s="112"/>
      <c r="E142" s="112"/>
      <c r="F142" s="112"/>
      <c r="G142" s="117"/>
      <c r="H142" s="117"/>
      <c r="I142" s="117"/>
      <c r="J142" s="117"/>
      <c r="K142" s="117"/>
      <c r="L142" s="119"/>
      <c r="M142" s="119"/>
      <c r="N142" s="119"/>
    </row>
    <row r="143" spans="1:14" ht="25" customHeight="1" x14ac:dyDescent="0.35">
      <c r="A143" s="111"/>
      <c r="B143" s="111"/>
      <c r="C143" s="111"/>
      <c r="D143" s="112"/>
      <c r="E143" s="112"/>
      <c r="F143" s="112"/>
      <c r="G143" s="117"/>
      <c r="H143" s="117"/>
      <c r="I143" s="117"/>
      <c r="J143" s="117"/>
      <c r="K143" s="117"/>
      <c r="L143" s="119"/>
      <c r="M143" s="119"/>
      <c r="N143" s="119"/>
    </row>
    <row r="144" spans="1:14" ht="25" customHeight="1" x14ac:dyDescent="0.35">
      <c r="A144" s="111"/>
      <c r="B144" s="111"/>
      <c r="C144" s="111"/>
      <c r="D144" s="112"/>
      <c r="E144" s="112"/>
      <c r="F144" s="112"/>
      <c r="G144" s="117"/>
      <c r="H144" s="117"/>
      <c r="I144" s="117"/>
      <c r="J144" s="117"/>
      <c r="K144" s="117"/>
      <c r="L144" s="119"/>
      <c r="M144" s="119"/>
      <c r="N144" s="119"/>
    </row>
    <row r="145" spans="1:14" ht="25" customHeight="1" x14ac:dyDescent="0.35">
      <c r="A145" s="111"/>
      <c r="B145" s="111"/>
      <c r="C145" s="111"/>
      <c r="D145" s="112"/>
      <c r="E145" s="112"/>
      <c r="F145" s="112"/>
      <c r="G145" s="117"/>
      <c r="H145" s="117"/>
      <c r="I145" s="117"/>
      <c r="J145" s="117"/>
      <c r="K145" s="117"/>
      <c r="L145" s="119"/>
      <c r="M145" s="119"/>
      <c r="N145" s="119"/>
    </row>
    <row r="146" spans="1:14" ht="25" customHeight="1" x14ac:dyDescent="0.35">
      <c r="A146" s="111"/>
      <c r="B146" s="111"/>
      <c r="C146" s="111"/>
      <c r="D146" s="112"/>
      <c r="E146" s="112"/>
      <c r="F146" s="112"/>
      <c r="G146" s="117"/>
      <c r="H146" s="117"/>
      <c r="I146" s="117"/>
      <c r="J146" s="117"/>
      <c r="K146" s="117"/>
      <c r="L146" s="119"/>
      <c r="M146" s="119"/>
      <c r="N146" s="119"/>
    </row>
    <row r="147" spans="1:14" ht="25" customHeight="1" x14ac:dyDescent="0.35">
      <c r="A147" s="111"/>
      <c r="B147" s="111"/>
      <c r="C147" s="111"/>
      <c r="D147" s="112"/>
      <c r="E147" s="112"/>
      <c r="F147" s="112"/>
      <c r="G147" s="117"/>
      <c r="H147" s="117"/>
      <c r="I147" s="117"/>
      <c r="J147" s="117"/>
      <c r="K147" s="117"/>
      <c r="L147" s="119"/>
      <c r="M147" s="119"/>
      <c r="N147" s="119"/>
    </row>
    <row r="148" spans="1:14" ht="25" customHeight="1" x14ac:dyDescent="0.35">
      <c r="A148" s="111"/>
      <c r="B148" s="111"/>
      <c r="C148" s="111"/>
      <c r="D148" s="112"/>
      <c r="E148" s="112"/>
      <c r="F148" s="112"/>
      <c r="G148" s="117"/>
      <c r="H148" s="117"/>
      <c r="I148" s="117"/>
      <c r="J148" s="117"/>
      <c r="K148" s="117"/>
      <c r="L148" s="119"/>
      <c r="M148" s="119"/>
      <c r="N148" s="119"/>
    </row>
    <row r="149" spans="1:14" ht="25" customHeight="1" x14ac:dyDescent="0.35">
      <c r="A149" s="111"/>
      <c r="B149" s="111"/>
      <c r="C149" s="111"/>
      <c r="D149" s="112"/>
      <c r="E149" s="112"/>
      <c r="F149" s="112"/>
      <c r="G149" s="117"/>
      <c r="H149" s="117"/>
      <c r="I149" s="117"/>
      <c r="J149" s="117"/>
      <c r="K149" s="117"/>
      <c r="L149" s="119"/>
      <c r="M149" s="119"/>
      <c r="N149" s="119"/>
    </row>
    <row r="150" spans="1:14" ht="25" customHeight="1" x14ac:dyDescent="0.35">
      <c r="A150" s="111"/>
      <c r="B150" s="111"/>
      <c r="C150" s="111"/>
      <c r="D150" s="112"/>
      <c r="E150" s="112"/>
      <c r="F150" s="112"/>
      <c r="G150" s="117"/>
      <c r="H150" s="117"/>
      <c r="I150" s="117"/>
      <c r="J150" s="117"/>
      <c r="K150" s="117"/>
      <c r="L150" s="119"/>
      <c r="M150" s="119"/>
      <c r="N150" s="119"/>
    </row>
    <row r="151" spans="1:14" ht="25" customHeight="1" x14ac:dyDescent="0.35">
      <c r="A151" s="111"/>
      <c r="B151" s="111"/>
      <c r="C151" s="111"/>
      <c r="D151" s="112"/>
      <c r="E151" s="112"/>
      <c r="F151" s="112"/>
      <c r="G151" s="117"/>
      <c r="H151" s="117"/>
      <c r="I151" s="117"/>
      <c r="J151" s="117"/>
      <c r="K151" s="117"/>
      <c r="L151" s="119"/>
      <c r="M151" s="119"/>
      <c r="N151" s="119"/>
    </row>
    <row r="152" spans="1:14" ht="25" customHeight="1" x14ac:dyDescent="0.35">
      <c r="A152" s="111"/>
      <c r="B152" s="111"/>
      <c r="C152" s="111"/>
      <c r="D152" s="112"/>
      <c r="E152" s="112"/>
      <c r="F152" s="112"/>
      <c r="G152" s="117"/>
      <c r="H152" s="117"/>
      <c r="I152" s="117"/>
      <c r="J152" s="117"/>
      <c r="K152" s="117"/>
      <c r="L152" s="119"/>
      <c r="M152" s="119"/>
      <c r="N152" s="119"/>
    </row>
    <row r="153" spans="1:14" ht="25" customHeight="1" x14ac:dyDescent="0.35">
      <c r="A153" s="111"/>
      <c r="B153" s="111"/>
      <c r="C153" s="111"/>
      <c r="D153" s="112"/>
      <c r="E153" s="112"/>
      <c r="F153" s="112"/>
      <c r="G153" s="117"/>
      <c r="H153" s="117"/>
      <c r="I153" s="117"/>
      <c r="J153" s="117"/>
      <c r="K153" s="117"/>
      <c r="L153" s="119"/>
      <c r="M153" s="119"/>
      <c r="N153" s="119"/>
    </row>
    <row r="154" spans="1:14" ht="25" customHeight="1" x14ac:dyDescent="0.35">
      <c r="A154" s="111"/>
      <c r="B154" s="111"/>
      <c r="C154" s="111"/>
      <c r="D154" s="112"/>
      <c r="E154" s="112"/>
      <c r="F154" s="112"/>
      <c r="G154" s="117"/>
      <c r="H154" s="117"/>
      <c r="I154" s="117"/>
      <c r="J154" s="117"/>
      <c r="K154" s="117"/>
      <c r="L154" s="119"/>
      <c r="M154" s="119"/>
      <c r="N154" s="119"/>
    </row>
    <row r="155" spans="1:14" ht="25" customHeight="1" x14ac:dyDescent="0.35">
      <c r="A155" s="111"/>
      <c r="B155" s="111"/>
      <c r="C155" s="111"/>
      <c r="D155" s="112"/>
      <c r="E155" s="112"/>
      <c r="F155" s="112"/>
      <c r="G155" s="117"/>
      <c r="H155" s="117"/>
      <c r="I155" s="117"/>
      <c r="J155" s="117"/>
      <c r="K155" s="117"/>
      <c r="L155" s="119"/>
      <c r="M155" s="119"/>
      <c r="N155" s="119"/>
    </row>
    <row r="156" spans="1:14" ht="25" customHeight="1" x14ac:dyDescent="0.35">
      <c r="A156" s="111"/>
      <c r="B156" s="111"/>
      <c r="C156" s="111"/>
      <c r="D156" s="112"/>
      <c r="E156" s="112"/>
      <c r="F156" s="112"/>
      <c r="G156" s="117"/>
      <c r="H156" s="117"/>
      <c r="I156" s="117"/>
      <c r="J156" s="117"/>
      <c r="K156" s="117"/>
      <c r="L156" s="119"/>
      <c r="M156" s="119"/>
      <c r="N156" s="119"/>
    </row>
    <row r="157" spans="1:14" ht="25" customHeight="1" x14ac:dyDescent="0.35">
      <c r="A157" s="111"/>
      <c r="B157" s="111"/>
      <c r="C157" s="111"/>
      <c r="D157" s="112"/>
      <c r="E157" s="112"/>
      <c r="F157" s="112"/>
      <c r="G157" s="117"/>
      <c r="H157" s="117"/>
      <c r="I157" s="117"/>
      <c r="J157" s="117"/>
      <c r="K157" s="117"/>
      <c r="L157" s="119"/>
      <c r="M157" s="119"/>
      <c r="N157" s="119"/>
    </row>
    <row r="158" spans="1:14" ht="25" customHeight="1" x14ac:dyDescent="0.35">
      <c r="A158" s="111"/>
      <c r="B158" s="111"/>
      <c r="C158" s="111"/>
      <c r="D158" s="112"/>
      <c r="E158" s="112"/>
      <c r="F158" s="112"/>
      <c r="G158" s="117"/>
      <c r="H158" s="117"/>
      <c r="I158" s="117"/>
      <c r="J158" s="117"/>
      <c r="K158" s="117"/>
      <c r="L158" s="119"/>
      <c r="M158" s="119"/>
      <c r="N158" s="119"/>
    </row>
    <row r="159" spans="1:14" ht="25" customHeight="1" x14ac:dyDescent="0.35">
      <c r="A159" s="111"/>
      <c r="B159" s="111"/>
      <c r="C159" s="111"/>
      <c r="D159" s="112"/>
      <c r="E159" s="112"/>
      <c r="F159" s="112"/>
      <c r="G159" s="117"/>
      <c r="H159" s="117"/>
      <c r="I159" s="117"/>
      <c r="J159" s="117"/>
      <c r="K159" s="117"/>
      <c r="L159" s="119"/>
      <c r="M159" s="119"/>
      <c r="N159" s="119"/>
    </row>
    <row r="160" spans="1:14" ht="25" customHeight="1" x14ac:dyDescent="0.35">
      <c r="A160" s="111"/>
      <c r="B160" s="111"/>
      <c r="C160" s="111"/>
      <c r="D160" s="112"/>
      <c r="E160" s="112"/>
      <c r="F160" s="112"/>
      <c r="G160" s="117"/>
      <c r="H160" s="117"/>
      <c r="I160" s="117"/>
      <c r="J160" s="117"/>
      <c r="K160" s="117"/>
      <c r="L160" s="119"/>
      <c r="M160" s="119"/>
      <c r="N160" s="119"/>
    </row>
    <row r="161" spans="1:14" ht="25" customHeight="1" x14ac:dyDescent="0.35">
      <c r="A161" s="111"/>
      <c r="B161" s="111"/>
      <c r="C161" s="111"/>
      <c r="D161" s="112"/>
      <c r="E161" s="112"/>
      <c r="F161" s="112"/>
      <c r="G161" s="117"/>
      <c r="H161" s="117"/>
      <c r="I161" s="117"/>
      <c r="J161" s="117"/>
      <c r="K161" s="117"/>
      <c r="L161" s="119"/>
      <c r="M161" s="119"/>
      <c r="N161" s="119"/>
    </row>
    <row r="162" spans="1:14" ht="25" customHeight="1" x14ac:dyDescent="0.35">
      <c r="A162" s="111"/>
      <c r="B162" s="111"/>
      <c r="C162" s="111"/>
      <c r="D162" s="112"/>
      <c r="E162" s="112"/>
      <c r="F162" s="112"/>
      <c r="G162" s="117"/>
      <c r="H162" s="117"/>
      <c r="I162" s="117"/>
      <c r="J162" s="117"/>
      <c r="K162" s="117"/>
      <c r="L162" s="119"/>
      <c r="M162" s="119"/>
      <c r="N162" s="119"/>
    </row>
    <row r="163" spans="1:14" ht="25" customHeight="1" x14ac:dyDescent="0.35">
      <c r="A163" s="111"/>
      <c r="B163" s="111"/>
      <c r="C163" s="111"/>
      <c r="D163" s="112"/>
      <c r="E163" s="112"/>
      <c r="F163" s="112"/>
      <c r="G163" s="117"/>
      <c r="H163" s="117"/>
      <c r="I163" s="117"/>
      <c r="J163" s="117"/>
      <c r="K163" s="117"/>
      <c r="L163" s="119"/>
      <c r="M163" s="119"/>
      <c r="N163" s="119"/>
    </row>
    <row r="164" spans="1:14" ht="25" customHeight="1" x14ac:dyDescent="0.35">
      <c r="A164" s="111"/>
      <c r="B164" s="111"/>
      <c r="C164" s="111"/>
      <c r="D164" s="112"/>
      <c r="E164" s="112"/>
      <c r="F164" s="112"/>
      <c r="G164" s="117"/>
      <c r="H164" s="117"/>
      <c r="I164" s="117"/>
      <c r="J164" s="117"/>
      <c r="K164" s="117"/>
      <c r="L164" s="119"/>
      <c r="M164" s="119"/>
      <c r="N164" s="119"/>
    </row>
    <row r="165" spans="1:14" ht="25" customHeight="1" x14ac:dyDescent="0.35">
      <c r="A165" s="111"/>
      <c r="B165" s="111"/>
      <c r="C165" s="111"/>
      <c r="D165" s="112"/>
      <c r="E165" s="112"/>
      <c r="F165" s="112"/>
      <c r="G165" s="117"/>
      <c r="H165" s="117"/>
      <c r="I165" s="117"/>
      <c r="J165" s="117"/>
      <c r="K165" s="117"/>
      <c r="L165" s="119"/>
      <c r="M165" s="119"/>
      <c r="N165" s="119"/>
    </row>
    <row r="166" spans="1:14" ht="25" customHeight="1" x14ac:dyDescent="0.35">
      <c r="A166" s="111"/>
      <c r="B166" s="111"/>
      <c r="C166" s="111"/>
      <c r="D166" s="112"/>
      <c r="E166" s="112"/>
      <c r="F166" s="112"/>
      <c r="G166" s="117"/>
      <c r="H166" s="117"/>
      <c r="I166" s="117"/>
      <c r="J166" s="117"/>
      <c r="K166" s="117"/>
      <c r="L166" s="119"/>
      <c r="M166" s="119"/>
      <c r="N166" s="119"/>
    </row>
    <row r="167" spans="1:14" ht="25" customHeight="1" x14ac:dyDescent="0.35">
      <c r="A167" s="111"/>
      <c r="B167" s="111"/>
      <c r="C167" s="111"/>
      <c r="D167" s="112"/>
      <c r="E167" s="112"/>
      <c r="F167" s="112"/>
      <c r="G167" s="117"/>
      <c r="H167" s="117"/>
      <c r="I167" s="117"/>
      <c r="J167" s="117"/>
      <c r="K167" s="117"/>
      <c r="L167" s="119"/>
      <c r="M167" s="119"/>
      <c r="N167" s="119"/>
    </row>
    <row r="168" spans="1:14" ht="25" customHeight="1" x14ac:dyDescent="0.35">
      <c r="A168" s="111"/>
      <c r="B168" s="111"/>
      <c r="C168" s="111"/>
      <c r="D168" s="112"/>
      <c r="E168" s="112"/>
      <c r="F168" s="112"/>
      <c r="G168" s="117"/>
      <c r="H168" s="117"/>
      <c r="I168" s="117"/>
      <c r="J168" s="117"/>
      <c r="K168" s="117"/>
      <c r="L168" s="119"/>
      <c r="M168" s="119"/>
      <c r="N168" s="119"/>
    </row>
    <row r="169" spans="1:14" ht="25" customHeight="1" x14ac:dyDescent="0.35">
      <c r="A169" s="111"/>
      <c r="B169" s="111"/>
      <c r="C169" s="111"/>
      <c r="D169" s="112"/>
      <c r="E169" s="112"/>
      <c r="F169" s="112"/>
      <c r="G169" s="117"/>
      <c r="H169" s="117"/>
      <c r="I169" s="117"/>
      <c r="J169" s="117"/>
      <c r="K169" s="117"/>
      <c r="L169" s="119"/>
      <c r="M169" s="119"/>
      <c r="N169" s="119"/>
    </row>
    <row r="170" spans="1:14" ht="25" customHeight="1" x14ac:dyDescent="0.35">
      <c r="A170" s="111"/>
      <c r="B170" s="111"/>
      <c r="C170" s="111"/>
      <c r="D170" s="112"/>
      <c r="E170" s="112"/>
      <c r="F170" s="112"/>
      <c r="G170" s="117"/>
      <c r="H170" s="117"/>
      <c r="I170" s="117"/>
      <c r="J170" s="117"/>
      <c r="K170" s="117"/>
      <c r="L170" s="119"/>
      <c r="M170" s="119"/>
      <c r="N170" s="119"/>
    </row>
    <row r="171" spans="1:14" ht="25" customHeight="1" x14ac:dyDescent="0.35">
      <c r="A171" s="111"/>
      <c r="B171" s="111"/>
      <c r="C171" s="111"/>
      <c r="D171" s="112"/>
      <c r="E171" s="112"/>
      <c r="F171" s="112"/>
      <c r="G171" s="117"/>
      <c r="H171" s="117"/>
      <c r="I171" s="117"/>
      <c r="J171" s="117"/>
      <c r="K171" s="117"/>
      <c r="L171" s="119"/>
      <c r="M171" s="119"/>
      <c r="N171" s="119"/>
    </row>
    <row r="172" spans="1:14" ht="25" customHeight="1" x14ac:dyDescent="0.35">
      <c r="A172" s="111"/>
      <c r="B172" s="111"/>
      <c r="C172" s="111"/>
      <c r="D172" s="112"/>
      <c r="E172" s="112"/>
      <c r="F172" s="112"/>
      <c r="G172" s="117"/>
      <c r="H172" s="117"/>
      <c r="I172" s="117"/>
      <c r="J172" s="117"/>
      <c r="K172" s="117"/>
      <c r="L172" s="119"/>
      <c r="M172" s="119"/>
      <c r="N172" s="119"/>
    </row>
    <row r="173" spans="1:14" ht="25" customHeight="1" x14ac:dyDescent="0.35">
      <c r="A173" s="111"/>
      <c r="B173" s="111"/>
      <c r="C173" s="111"/>
      <c r="D173" s="112"/>
      <c r="E173" s="112"/>
      <c r="F173" s="112"/>
      <c r="G173" s="117"/>
      <c r="H173" s="117"/>
      <c r="I173" s="117"/>
      <c r="J173" s="117"/>
      <c r="K173" s="117"/>
      <c r="L173" s="119"/>
      <c r="M173" s="119"/>
      <c r="N173" s="119"/>
    </row>
    <row r="174" spans="1:14" ht="25" customHeight="1" x14ac:dyDescent="0.35">
      <c r="A174" s="111"/>
      <c r="B174" s="111"/>
      <c r="C174" s="111"/>
      <c r="D174" s="112"/>
      <c r="E174" s="112"/>
      <c r="F174" s="112"/>
      <c r="G174" s="117"/>
      <c r="H174" s="117"/>
      <c r="I174" s="117"/>
      <c r="J174" s="117"/>
      <c r="K174" s="117"/>
      <c r="L174" s="119"/>
      <c r="M174" s="119"/>
      <c r="N174" s="119"/>
    </row>
    <row r="175" spans="1:14" ht="25" customHeight="1" x14ac:dyDescent="0.35">
      <c r="A175" s="111"/>
      <c r="B175" s="111"/>
      <c r="C175" s="111"/>
      <c r="D175" s="112"/>
      <c r="E175" s="112"/>
      <c r="F175" s="112"/>
      <c r="G175" s="117"/>
      <c r="H175" s="117"/>
      <c r="I175" s="117"/>
      <c r="J175" s="117"/>
      <c r="K175" s="117"/>
      <c r="L175" s="119"/>
      <c r="M175" s="119"/>
      <c r="N175" s="119"/>
    </row>
    <row r="176" spans="1:14" ht="25" customHeight="1" x14ac:dyDescent="0.35">
      <c r="A176" s="111"/>
      <c r="B176" s="111"/>
      <c r="C176" s="111"/>
      <c r="D176" s="112"/>
      <c r="E176" s="112"/>
      <c r="F176" s="112"/>
      <c r="G176" s="117"/>
      <c r="H176" s="117"/>
      <c r="I176" s="117"/>
      <c r="J176" s="117"/>
      <c r="K176" s="117"/>
      <c r="L176" s="119"/>
      <c r="M176" s="119"/>
      <c r="N176" s="119"/>
    </row>
    <row r="177" spans="1:14" ht="25" customHeight="1" x14ac:dyDescent="0.35">
      <c r="A177" s="111"/>
      <c r="B177" s="111"/>
      <c r="C177" s="111"/>
      <c r="D177" s="112"/>
      <c r="E177" s="112"/>
      <c r="F177" s="112"/>
      <c r="G177" s="117"/>
      <c r="H177" s="117"/>
      <c r="I177" s="117"/>
      <c r="J177" s="117"/>
      <c r="K177" s="117"/>
      <c r="L177" s="119"/>
      <c r="M177" s="119"/>
      <c r="N177" s="119"/>
    </row>
    <row r="178" spans="1:14" ht="25" customHeight="1" x14ac:dyDescent="0.35">
      <c r="A178" s="111"/>
      <c r="B178" s="111"/>
      <c r="C178" s="111"/>
      <c r="D178" s="112"/>
      <c r="E178" s="112"/>
      <c r="F178" s="112"/>
      <c r="G178" s="117"/>
      <c r="H178" s="117"/>
      <c r="I178" s="117"/>
      <c r="J178" s="117"/>
      <c r="K178" s="117"/>
      <c r="L178" s="119"/>
      <c r="M178" s="119"/>
      <c r="N178" s="119"/>
    </row>
    <row r="179" spans="1:14" ht="25" customHeight="1" x14ac:dyDescent="0.35">
      <c r="A179" s="111"/>
      <c r="B179" s="111"/>
      <c r="C179" s="111"/>
      <c r="D179" s="112"/>
      <c r="E179" s="112"/>
      <c r="F179" s="112"/>
      <c r="G179" s="117"/>
      <c r="H179" s="117"/>
      <c r="I179" s="117"/>
      <c r="J179" s="117"/>
      <c r="K179" s="117"/>
      <c r="L179" s="119"/>
      <c r="M179" s="119"/>
      <c r="N179" s="119"/>
    </row>
    <row r="180" spans="1:14" ht="25" customHeight="1" x14ac:dyDescent="0.35">
      <c r="A180" s="111"/>
      <c r="B180" s="111"/>
      <c r="C180" s="111"/>
      <c r="D180" s="112"/>
      <c r="E180" s="112"/>
      <c r="F180" s="112"/>
      <c r="G180" s="117"/>
      <c r="H180" s="117"/>
      <c r="I180" s="117"/>
      <c r="J180" s="117"/>
      <c r="K180" s="117"/>
      <c r="L180" s="119"/>
      <c r="M180" s="119"/>
      <c r="N180" s="119"/>
    </row>
    <row r="181" spans="1:14" ht="25" customHeight="1" x14ac:dyDescent="0.35">
      <c r="A181" s="111"/>
      <c r="B181" s="111"/>
      <c r="C181" s="111"/>
      <c r="D181" s="112"/>
      <c r="E181" s="112"/>
      <c r="F181" s="112"/>
      <c r="G181" s="117"/>
      <c r="H181" s="117"/>
      <c r="I181" s="117"/>
      <c r="J181" s="117"/>
      <c r="K181" s="117"/>
      <c r="L181" s="119"/>
      <c r="M181" s="119"/>
      <c r="N181" s="119"/>
    </row>
    <row r="182" spans="1:14" ht="25" customHeight="1" x14ac:dyDescent="0.35">
      <c r="A182" s="111"/>
      <c r="B182" s="111"/>
      <c r="C182" s="111"/>
      <c r="D182" s="112"/>
      <c r="E182" s="112"/>
      <c r="F182" s="112"/>
      <c r="G182" s="117"/>
      <c r="H182" s="117"/>
      <c r="I182" s="117"/>
      <c r="J182" s="117"/>
      <c r="K182" s="117"/>
      <c r="L182" s="119"/>
      <c r="M182" s="119"/>
      <c r="N182" s="119"/>
    </row>
    <row r="183" spans="1:14" ht="25" customHeight="1" x14ac:dyDescent="0.35">
      <c r="A183" s="111"/>
      <c r="B183" s="111"/>
      <c r="C183" s="111"/>
      <c r="D183" s="112"/>
      <c r="E183" s="112"/>
      <c r="F183" s="112"/>
      <c r="G183" s="117"/>
      <c r="H183" s="117"/>
      <c r="I183" s="117"/>
      <c r="J183" s="117"/>
      <c r="K183" s="117"/>
      <c r="L183" s="119"/>
      <c r="M183" s="119"/>
      <c r="N183" s="119"/>
    </row>
    <row r="184" spans="1:14" ht="25" customHeight="1" x14ac:dyDescent="0.35">
      <c r="A184" s="111"/>
      <c r="B184" s="111"/>
      <c r="C184" s="111"/>
      <c r="D184" s="112"/>
      <c r="E184" s="112"/>
      <c r="F184" s="112"/>
      <c r="G184" s="117"/>
      <c r="H184" s="117"/>
      <c r="I184" s="117"/>
      <c r="J184" s="117"/>
      <c r="K184" s="117"/>
      <c r="L184" s="119"/>
      <c r="M184" s="119"/>
      <c r="N184" s="119"/>
    </row>
    <row r="185" spans="1:14" ht="25" customHeight="1" x14ac:dyDescent="0.35">
      <c r="A185" s="111"/>
      <c r="B185" s="111"/>
      <c r="C185" s="111"/>
      <c r="D185" s="112"/>
      <c r="E185" s="112"/>
      <c r="F185" s="112"/>
      <c r="G185" s="117"/>
      <c r="H185" s="117"/>
      <c r="I185" s="117"/>
      <c r="J185" s="117"/>
      <c r="K185" s="117"/>
      <c r="L185" s="119"/>
      <c r="M185" s="119"/>
      <c r="N185" s="119"/>
    </row>
    <row r="186" spans="1:14" ht="25" customHeight="1" x14ac:dyDescent="0.35">
      <c r="A186" s="111"/>
      <c r="B186" s="111"/>
      <c r="C186" s="111"/>
      <c r="D186" s="112"/>
      <c r="E186" s="112"/>
      <c r="F186" s="112"/>
      <c r="G186" s="117"/>
      <c r="H186" s="117"/>
      <c r="I186" s="117"/>
      <c r="J186" s="117"/>
      <c r="K186" s="117"/>
      <c r="L186" s="119"/>
      <c r="M186" s="119"/>
      <c r="N186" s="119"/>
    </row>
    <row r="187" spans="1:14" ht="25" customHeight="1" x14ac:dyDescent="0.35">
      <c r="A187" s="111"/>
      <c r="B187" s="111"/>
      <c r="C187" s="111"/>
      <c r="D187" s="112"/>
      <c r="E187" s="112"/>
      <c r="F187" s="112"/>
      <c r="G187" s="117"/>
      <c r="H187" s="117"/>
      <c r="I187" s="117"/>
      <c r="J187" s="117"/>
      <c r="K187" s="117"/>
      <c r="L187" s="119"/>
      <c r="M187" s="119"/>
      <c r="N187" s="119"/>
    </row>
    <row r="188" spans="1:14" ht="25" customHeight="1" x14ac:dyDescent="0.35">
      <c r="A188" s="111"/>
      <c r="B188" s="111"/>
      <c r="C188" s="111"/>
      <c r="D188" s="112"/>
      <c r="E188" s="112"/>
      <c r="F188" s="112"/>
      <c r="G188" s="117"/>
      <c r="H188" s="117"/>
      <c r="I188" s="117"/>
      <c r="J188" s="117"/>
      <c r="K188" s="117"/>
      <c r="L188" s="119"/>
      <c r="M188" s="119"/>
      <c r="N188" s="119"/>
    </row>
    <row r="189" spans="1:14" ht="25" customHeight="1" x14ac:dyDescent="0.35">
      <c r="A189" s="111"/>
      <c r="B189" s="111"/>
      <c r="C189" s="111"/>
      <c r="D189" s="112"/>
      <c r="E189" s="112"/>
      <c r="F189" s="112"/>
      <c r="G189" s="117"/>
      <c r="H189" s="117"/>
      <c r="I189" s="117"/>
      <c r="J189" s="117"/>
      <c r="K189" s="117"/>
      <c r="L189" s="119"/>
      <c r="M189" s="119"/>
      <c r="N189" s="119"/>
    </row>
    <row r="190" spans="1:14" ht="25" customHeight="1" x14ac:dyDescent="0.35">
      <c r="A190" s="111"/>
      <c r="B190" s="111"/>
      <c r="C190" s="111"/>
      <c r="D190" s="112"/>
      <c r="E190" s="112"/>
      <c r="F190" s="112"/>
      <c r="G190" s="117"/>
      <c r="H190" s="117"/>
      <c r="I190" s="117"/>
      <c r="J190" s="117"/>
      <c r="K190" s="117"/>
      <c r="L190" s="119"/>
      <c r="M190" s="119"/>
      <c r="N190" s="119"/>
    </row>
    <row r="191" spans="1:14" ht="25" customHeight="1" x14ac:dyDescent="0.35">
      <c r="A191" s="111"/>
      <c r="B191" s="111"/>
      <c r="C191" s="111"/>
      <c r="D191" s="112"/>
      <c r="E191" s="112"/>
      <c r="F191" s="112"/>
      <c r="G191" s="117"/>
      <c r="H191" s="117"/>
      <c r="I191" s="117"/>
      <c r="J191" s="117"/>
      <c r="K191" s="117"/>
      <c r="L191" s="119"/>
      <c r="M191" s="119"/>
      <c r="N191" s="119"/>
    </row>
    <row r="192" spans="1:14" ht="25" customHeight="1" x14ac:dyDescent="0.35">
      <c r="A192" s="111"/>
      <c r="B192" s="111"/>
      <c r="C192" s="111"/>
      <c r="D192" s="112"/>
      <c r="E192" s="112"/>
      <c r="F192" s="112"/>
      <c r="G192" s="117"/>
      <c r="H192" s="117"/>
      <c r="I192" s="117"/>
      <c r="J192" s="117"/>
      <c r="K192" s="117"/>
      <c r="L192" s="119"/>
      <c r="M192" s="119"/>
      <c r="N192" s="119"/>
    </row>
    <row r="193" spans="1:14" ht="25" customHeight="1" x14ac:dyDescent="0.35">
      <c r="A193" s="111"/>
      <c r="B193" s="111"/>
      <c r="C193" s="111"/>
      <c r="D193" s="112"/>
      <c r="E193" s="112"/>
      <c r="F193" s="112"/>
      <c r="G193" s="117"/>
      <c r="H193" s="117"/>
      <c r="I193" s="117"/>
      <c r="J193" s="117"/>
      <c r="K193" s="117"/>
      <c r="L193" s="119"/>
      <c r="M193" s="119"/>
      <c r="N193" s="119"/>
    </row>
    <row r="194" spans="1:14" ht="25" customHeight="1" x14ac:dyDescent="0.35">
      <c r="A194" s="111"/>
      <c r="B194" s="111"/>
      <c r="C194" s="111"/>
      <c r="D194" s="112"/>
      <c r="E194" s="112"/>
      <c r="F194" s="112"/>
      <c r="G194" s="117"/>
      <c r="H194" s="117"/>
      <c r="I194" s="117"/>
      <c r="J194" s="117"/>
      <c r="K194" s="117"/>
      <c r="L194" s="119"/>
      <c r="M194" s="119"/>
      <c r="N194" s="119"/>
    </row>
    <row r="195" spans="1:14" ht="25" customHeight="1" x14ac:dyDescent="0.35">
      <c r="A195" s="111"/>
      <c r="B195" s="111"/>
      <c r="C195" s="111"/>
      <c r="D195" s="112"/>
      <c r="E195" s="112"/>
      <c r="F195" s="112"/>
      <c r="G195" s="117"/>
      <c r="H195" s="117"/>
      <c r="I195" s="117"/>
      <c r="J195" s="117"/>
      <c r="K195" s="117"/>
      <c r="L195" s="119"/>
      <c r="M195" s="119"/>
      <c r="N195" s="119"/>
    </row>
    <row r="196" spans="1:14" ht="25" customHeight="1" x14ac:dyDescent="0.35">
      <c r="A196" s="111"/>
      <c r="B196" s="111"/>
      <c r="C196" s="111"/>
      <c r="D196" s="112"/>
      <c r="E196" s="112"/>
      <c r="F196" s="112"/>
      <c r="G196" s="117"/>
      <c r="H196" s="117"/>
      <c r="I196" s="117"/>
      <c r="J196" s="117"/>
      <c r="K196" s="117"/>
      <c r="L196" s="119"/>
      <c r="M196" s="119"/>
      <c r="N196" s="119"/>
    </row>
    <row r="197" spans="1:14" ht="25" customHeight="1" x14ac:dyDescent="0.35">
      <c r="A197" s="111"/>
      <c r="B197" s="111"/>
      <c r="C197" s="111"/>
      <c r="D197" s="112"/>
      <c r="E197" s="112"/>
      <c r="F197" s="112"/>
      <c r="G197" s="117"/>
      <c r="H197" s="117"/>
      <c r="I197" s="117"/>
      <c r="J197" s="117"/>
      <c r="K197" s="117"/>
      <c r="L197" s="119"/>
      <c r="M197" s="119"/>
      <c r="N197" s="119"/>
    </row>
    <row r="198" spans="1:14" ht="25" customHeight="1" x14ac:dyDescent="0.35">
      <c r="A198" s="111"/>
      <c r="B198" s="111"/>
      <c r="C198" s="111"/>
      <c r="D198" s="112"/>
      <c r="E198" s="112"/>
      <c r="F198" s="112"/>
      <c r="G198" s="117"/>
      <c r="H198" s="117"/>
      <c r="I198" s="117"/>
      <c r="J198" s="117"/>
      <c r="K198" s="117"/>
      <c r="L198" s="119"/>
      <c r="M198" s="119"/>
      <c r="N198" s="119"/>
    </row>
    <row r="199" spans="1:14" ht="25" customHeight="1" x14ac:dyDescent="0.35">
      <c r="A199" s="111"/>
      <c r="B199" s="111"/>
      <c r="C199" s="111"/>
      <c r="D199" s="112"/>
      <c r="E199" s="112"/>
      <c r="F199" s="112"/>
      <c r="G199" s="117"/>
      <c r="H199" s="117"/>
      <c r="I199" s="117"/>
      <c r="J199" s="117"/>
      <c r="K199" s="117"/>
      <c r="L199" s="119"/>
      <c r="M199" s="119"/>
      <c r="N199" s="119"/>
    </row>
    <row r="200" spans="1:14" ht="25" customHeight="1" x14ac:dyDescent="0.35">
      <c r="A200" s="111"/>
      <c r="B200" s="111"/>
      <c r="C200" s="111"/>
      <c r="D200" s="112"/>
      <c r="E200" s="112"/>
      <c r="F200" s="112"/>
      <c r="G200" s="117"/>
      <c r="H200" s="117"/>
      <c r="I200" s="117"/>
      <c r="J200" s="117"/>
      <c r="K200" s="117"/>
      <c r="L200" s="119"/>
      <c r="M200" s="119"/>
      <c r="N200" s="119"/>
    </row>
  </sheetData>
  <mergeCells count="4">
    <mergeCell ref="A2:C2"/>
    <mergeCell ref="D2:F2"/>
    <mergeCell ref="G2:K2"/>
    <mergeCell ref="L2:M2"/>
  </mergeCell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0"/>
  <sheetViews>
    <sheetView topLeftCell="F18" workbookViewId="0">
      <selection activeCell="N29" sqref="N29"/>
    </sheetView>
  </sheetViews>
  <sheetFormatPr defaultColWidth="8.81640625" defaultRowHeight="14" x14ac:dyDescent="0.35"/>
  <cols>
    <col min="1" max="1" width="8.81640625" style="121"/>
    <col min="2" max="2" width="23.81640625" style="121" customWidth="1"/>
    <col min="3" max="11" width="18.6328125" style="121" customWidth="1"/>
    <col min="12" max="12" width="20.453125" style="121" customWidth="1"/>
    <col min="13" max="13" width="15.81640625" style="121" customWidth="1"/>
    <col min="14" max="14" width="13.6328125" style="120" customWidth="1"/>
    <col min="15" max="16384" width="8.81640625" style="120"/>
  </cols>
  <sheetData>
    <row r="1" spans="1:14" ht="32.5" customHeight="1" x14ac:dyDescent="0.35">
      <c r="M1" s="439">
        <v>180</v>
      </c>
    </row>
    <row r="2" spans="1:14" ht="29" customHeight="1" x14ac:dyDescent="0.35">
      <c r="A2" s="467" t="s">
        <v>111</v>
      </c>
      <c r="B2" s="518"/>
      <c r="C2" s="468"/>
      <c r="D2" s="527" t="s">
        <v>110</v>
      </c>
      <c r="E2" s="528"/>
      <c r="F2" s="529"/>
      <c r="G2" s="533" t="s">
        <v>109</v>
      </c>
      <c r="H2" s="534"/>
      <c r="I2" s="534"/>
      <c r="J2" s="521" t="s">
        <v>108</v>
      </c>
      <c r="K2" s="532"/>
      <c r="L2" s="110"/>
      <c r="M2" s="441">
        <v>140</v>
      </c>
      <c r="N2" s="453">
        <v>0.02</v>
      </c>
    </row>
    <row r="3" spans="1:14" s="174" customFormat="1" ht="28" x14ac:dyDescent="0.35">
      <c r="A3" s="149" t="s">
        <v>20</v>
      </c>
      <c r="B3" s="149" t="s">
        <v>206</v>
      </c>
      <c r="C3" s="149" t="s">
        <v>121</v>
      </c>
      <c r="D3" s="153" t="s">
        <v>11</v>
      </c>
      <c r="E3" s="153" t="s">
        <v>122</v>
      </c>
      <c r="F3" s="153" t="s">
        <v>211</v>
      </c>
      <c r="G3" s="165" t="s">
        <v>207</v>
      </c>
      <c r="H3" s="165" t="s">
        <v>2699</v>
      </c>
      <c r="I3" s="165" t="s">
        <v>208</v>
      </c>
      <c r="J3" s="152" t="s">
        <v>209</v>
      </c>
      <c r="K3" s="152" t="s">
        <v>210</v>
      </c>
      <c r="L3" s="270" t="s">
        <v>156</v>
      </c>
      <c r="M3" s="419" t="s">
        <v>2690</v>
      </c>
      <c r="N3" s="454" t="s">
        <v>1971</v>
      </c>
    </row>
    <row r="4" spans="1:14" ht="25" customHeight="1" x14ac:dyDescent="0.35">
      <c r="A4" s="111">
        <v>1</v>
      </c>
      <c r="B4" s="111" t="s">
        <v>2141</v>
      </c>
      <c r="C4" s="111" t="s">
        <v>2042</v>
      </c>
      <c r="D4" s="112">
        <v>1997</v>
      </c>
      <c r="E4" s="112"/>
      <c r="F4" s="112"/>
      <c r="G4" s="168" t="s">
        <v>2142</v>
      </c>
      <c r="H4" s="168">
        <v>1763</v>
      </c>
      <c r="I4" s="168"/>
      <c r="J4" s="154">
        <v>4</v>
      </c>
      <c r="K4" s="154">
        <v>4</v>
      </c>
      <c r="L4" s="452">
        <v>5</v>
      </c>
      <c r="M4" s="447">
        <f>M$2*H4</f>
        <v>246820</v>
      </c>
      <c r="N4" s="448">
        <f>ROUND(N$2*M4,-2)</f>
        <v>4900</v>
      </c>
    </row>
    <row r="5" spans="1:14" ht="25" customHeight="1" x14ac:dyDescent="0.35">
      <c r="A5" s="111">
        <v>2</v>
      </c>
      <c r="B5" s="111" t="s">
        <v>2143</v>
      </c>
      <c r="C5" s="111" t="s">
        <v>2042</v>
      </c>
      <c r="D5" s="112">
        <v>1997</v>
      </c>
      <c r="E5" s="112"/>
      <c r="F5" s="112"/>
      <c r="G5" s="168" t="s">
        <v>2142</v>
      </c>
      <c r="H5" s="168">
        <v>5112</v>
      </c>
      <c r="I5" s="168"/>
      <c r="J5" s="154">
        <v>4</v>
      </c>
      <c r="K5" s="154">
        <v>4</v>
      </c>
      <c r="L5" s="452">
        <v>5</v>
      </c>
      <c r="M5" s="447">
        <f t="shared" ref="M5:M21" si="0">M$2*H5</f>
        <v>715680</v>
      </c>
      <c r="N5" s="448">
        <f t="shared" ref="N5:N24" si="1">ROUND(N$2*M5,-2)</f>
        <v>14300</v>
      </c>
    </row>
    <row r="6" spans="1:14" ht="25" customHeight="1" x14ac:dyDescent="0.35">
      <c r="A6" s="111">
        <v>3</v>
      </c>
      <c r="B6" s="111" t="s">
        <v>2144</v>
      </c>
      <c r="C6" s="111" t="s">
        <v>383</v>
      </c>
      <c r="D6" s="112">
        <v>1997</v>
      </c>
      <c r="E6" s="112"/>
      <c r="F6" s="112"/>
      <c r="G6" s="168" t="s">
        <v>2142</v>
      </c>
      <c r="H6" s="168">
        <f>5*1610</f>
        <v>8050</v>
      </c>
      <c r="I6" s="168"/>
      <c r="J6" s="154">
        <v>4</v>
      </c>
      <c r="K6" s="154">
        <v>4</v>
      </c>
      <c r="L6" s="452">
        <v>5</v>
      </c>
      <c r="M6" s="447">
        <f t="shared" si="0"/>
        <v>1127000</v>
      </c>
      <c r="N6" s="448">
        <f t="shared" si="1"/>
        <v>22500</v>
      </c>
    </row>
    <row r="7" spans="1:14" ht="25" customHeight="1" x14ac:dyDescent="0.35">
      <c r="A7" s="111">
        <v>4</v>
      </c>
      <c r="B7" s="111" t="s">
        <v>2145</v>
      </c>
      <c r="C7" s="111" t="s">
        <v>383</v>
      </c>
      <c r="D7" s="112">
        <v>1997</v>
      </c>
      <c r="E7" s="112">
        <v>2018</v>
      </c>
      <c r="F7" s="175" t="s">
        <v>2146</v>
      </c>
      <c r="G7" s="168" t="s">
        <v>2142</v>
      </c>
      <c r="H7" s="168">
        <f>3*1610</f>
        <v>4830</v>
      </c>
      <c r="I7" s="168"/>
      <c r="J7" s="154">
        <v>4</v>
      </c>
      <c r="K7" s="154">
        <v>4</v>
      </c>
      <c r="L7" s="452">
        <v>5</v>
      </c>
      <c r="M7" s="447">
        <f t="shared" si="0"/>
        <v>676200</v>
      </c>
      <c r="N7" s="448">
        <f t="shared" si="1"/>
        <v>13500</v>
      </c>
    </row>
    <row r="8" spans="1:14" ht="25" customHeight="1" x14ac:dyDescent="0.35">
      <c r="A8" s="111">
        <v>5</v>
      </c>
      <c r="B8" s="111" t="s">
        <v>2147</v>
      </c>
      <c r="C8" s="111" t="s">
        <v>2095</v>
      </c>
      <c r="D8" s="112">
        <v>1997</v>
      </c>
      <c r="E8" s="112"/>
      <c r="F8" s="112"/>
      <c r="G8" s="168" t="s">
        <v>2142</v>
      </c>
      <c r="H8" s="168">
        <f>14*1610</f>
        <v>22540</v>
      </c>
      <c r="I8" s="168"/>
      <c r="J8" s="154">
        <v>4</v>
      </c>
      <c r="K8" s="154">
        <v>3</v>
      </c>
      <c r="L8" s="452">
        <v>5</v>
      </c>
      <c r="M8" s="447">
        <f t="shared" si="0"/>
        <v>3155600</v>
      </c>
      <c r="N8" s="448">
        <f t="shared" si="1"/>
        <v>63100</v>
      </c>
    </row>
    <row r="9" spans="1:14" ht="25" customHeight="1" x14ac:dyDescent="0.35">
      <c r="A9" s="111">
        <v>6</v>
      </c>
      <c r="B9" s="111" t="s">
        <v>2148</v>
      </c>
      <c r="C9" s="111" t="s">
        <v>2149</v>
      </c>
      <c r="D9" s="112">
        <v>1997</v>
      </c>
      <c r="E9" s="112"/>
      <c r="F9" s="112"/>
      <c r="G9" s="168" t="s">
        <v>2142</v>
      </c>
      <c r="H9" s="167">
        <v>5000</v>
      </c>
      <c r="I9" s="168"/>
      <c r="J9" s="154">
        <v>4</v>
      </c>
      <c r="K9" s="154">
        <v>3</v>
      </c>
      <c r="L9" s="452">
        <v>5</v>
      </c>
      <c r="M9" s="447">
        <f t="shared" si="0"/>
        <v>700000</v>
      </c>
      <c r="N9" s="448">
        <f t="shared" si="1"/>
        <v>14000</v>
      </c>
    </row>
    <row r="10" spans="1:14" ht="25" customHeight="1" x14ac:dyDescent="0.35">
      <c r="A10" s="111">
        <v>7</v>
      </c>
      <c r="B10" s="111" t="s">
        <v>2150</v>
      </c>
      <c r="C10" s="111" t="s">
        <v>576</v>
      </c>
      <c r="D10" s="112">
        <v>1997</v>
      </c>
      <c r="E10" s="112"/>
      <c r="F10" s="112"/>
      <c r="G10" s="168" t="s">
        <v>2142</v>
      </c>
      <c r="H10" s="168">
        <f>6.7*1610</f>
        <v>10787</v>
      </c>
      <c r="I10" s="168"/>
      <c r="J10" s="154">
        <v>4</v>
      </c>
      <c r="K10" s="154">
        <v>3</v>
      </c>
      <c r="L10" s="452">
        <v>5</v>
      </c>
      <c r="M10" s="447">
        <f t="shared" si="0"/>
        <v>1510180</v>
      </c>
      <c r="N10" s="448">
        <f t="shared" si="1"/>
        <v>30200</v>
      </c>
    </row>
    <row r="11" spans="1:14" ht="25" customHeight="1" x14ac:dyDescent="0.35">
      <c r="A11" s="111">
        <v>8</v>
      </c>
      <c r="B11" s="111" t="s">
        <v>2151</v>
      </c>
      <c r="C11" s="111" t="s">
        <v>576</v>
      </c>
      <c r="D11" s="112">
        <v>1997</v>
      </c>
      <c r="E11" s="112">
        <v>2018</v>
      </c>
      <c r="F11" s="175" t="s">
        <v>2146</v>
      </c>
      <c r="G11" s="168" t="s">
        <v>2142</v>
      </c>
      <c r="H11" s="167">
        <v>2500</v>
      </c>
      <c r="I11" s="168"/>
      <c r="J11" s="154">
        <v>4</v>
      </c>
      <c r="K11" s="154">
        <v>3</v>
      </c>
      <c r="L11" s="452">
        <v>5</v>
      </c>
      <c r="M11" s="447">
        <f t="shared" si="0"/>
        <v>350000</v>
      </c>
      <c r="N11" s="448">
        <f t="shared" si="1"/>
        <v>7000</v>
      </c>
    </row>
    <row r="12" spans="1:14" ht="25" customHeight="1" x14ac:dyDescent="0.35">
      <c r="A12" s="111">
        <v>9</v>
      </c>
      <c r="B12" s="111" t="s">
        <v>2152</v>
      </c>
      <c r="C12" s="111" t="s">
        <v>576</v>
      </c>
      <c r="D12" s="112">
        <v>1997</v>
      </c>
      <c r="E12" s="112"/>
      <c r="F12" s="112"/>
      <c r="G12" s="168" t="s">
        <v>2142</v>
      </c>
      <c r="H12" s="167">
        <v>1200</v>
      </c>
      <c r="I12" s="168"/>
      <c r="J12" s="154">
        <v>4</v>
      </c>
      <c r="K12" s="154">
        <v>3</v>
      </c>
      <c r="L12" s="452">
        <v>5</v>
      </c>
      <c r="M12" s="447">
        <f t="shared" si="0"/>
        <v>168000</v>
      </c>
      <c r="N12" s="448">
        <f t="shared" si="1"/>
        <v>3400</v>
      </c>
    </row>
    <row r="13" spans="1:14" ht="25" customHeight="1" x14ac:dyDescent="0.35">
      <c r="A13" s="111">
        <v>10</v>
      </c>
      <c r="B13" s="111" t="s">
        <v>2153</v>
      </c>
      <c r="C13" s="111" t="s">
        <v>927</v>
      </c>
      <c r="D13" s="112">
        <v>1997</v>
      </c>
      <c r="E13" s="112"/>
      <c r="F13" s="112"/>
      <c r="G13" s="168" t="s">
        <v>2142</v>
      </c>
      <c r="H13" s="168">
        <v>9.5</v>
      </c>
      <c r="I13" s="168"/>
      <c r="J13" s="154">
        <v>4</v>
      </c>
      <c r="K13" s="154">
        <v>3</v>
      </c>
      <c r="L13" s="452">
        <v>5</v>
      </c>
      <c r="M13" s="447">
        <f t="shared" si="0"/>
        <v>1330</v>
      </c>
      <c r="N13" s="448">
        <f t="shared" si="1"/>
        <v>0</v>
      </c>
    </row>
    <row r="14" spans="1:14" ht="25" customHeight="1" x14ac:dyDescent="0.35">
      <c r="A14" s="111">
        <v>11</v>
      </c>
      <c r="B14" s="111" t="s">
        <v>2154</v>
      </c>
      <c r="C14" s="111" t="s">
        <v>1694</v>
      </c>
      <c r="D14" s="112">
        <v>1997</v>
      </c>
      <c r="E14" s="112"/>
      <c r="F14" s="112"/>
      <c r="G14" s="168" t="s">
        <v>2142</v>
      </c>
      <c r="H14" s="168">
        <f>4*1610</f>
        <v>6440</v>
      </c>
      <c r="I14" s="168"/>
      <c r="J14" s="154">
        <v>4</v>
      </c>
      <c r="K14" s="154">
        <v>3</v>
      </c>
      <c r="L14" s="452">
        <v>5</v>
      </c>
      <c r="M14" s="447">
        <f t="shared" si="0"/>
        <v>901600</v>
      </c>
      <c r="N14" s="448">
        <f t="shared" si="1"/>
        <v>18000</v>
      </c>
    </row>
    <row r="15" spans="1:14" ht="25" customHeight="1" x14ac:dyDescent="0.35">
      <c r="A15" s="111">
        <v>12</v>
      </c>
      <c r="B15" s="111" t="s">
        <v>2155</v>
      </c>
      <c r="C15" s="111" t="s">
        <v>1694</v>
      </c>
      <c r="D15" s="112">
        <v>1997</v>
      </c>
      <c r="E15" s="112"/>
      <c r="F15" s="112"/>
      <c r="G15" s="168" t="s">
        <v>2142</v>
      </c>
      <c r="H15" s="167">
        <v>2500</v>
      </c>
      <c r="I15" s="168"/>
      <c r="J15" s="154">
        <v>4</v>
      </c>
      <c r="K15" s="154">
        <v>3</v>
      </c>
      <c r="L15" s="452">
        <v>5</v>
      </c>
      <c r="M15" s="447">
        <f t="shared" si="0"/>
        <v>350000</v>
      </c>
      <c r="N15" s="448">
        <f t="shared" si="1"/>
        <v>7000</v>
      </c>
    </row>
    <row r="16" spans="1:14" ht="25" customHeight="1" x14ac:dyDescent="0.35">
      <c r="A16" s="111">
        <v>13</v>
      </c>
      <c r="B16" s="111" t="s">
        <v>2156</v>
      </c>
      <c r="C16" s="111" t="s">
        <v>2157</v>
      </c>
      <c r="D16" s="112">
        <v>1997</v>
      </c>
      <c r="E16" s="112"/>
      <c r="F16" s="112"/>
      <c r="G16" s="168" t="s">
        <v>2142</v>
      </c>
      <c r="H16" s="167">
        <v>6000</v>
      </c>
      <c r="I16" s="168"/>
      <c r="J16" s="154">
        <v>4</v>
      </c>
      <c r="K16" s="154">
        <v>3</v>
      </c>
      <c r="L16" s="452">
        <v>5</v>
      </c>
      <c r="M16" s="447">
        <f t="shared" si="0"/>
        <v>840000</v>
      </c>
      <c r="N16" s="448">
        <f t="shared" si="1"/>
        <v>16800</v>
      </c>
    </row>
    <row r="17" spans="1:14" ht="25" customHeight="1" x14ac:dyDescent="0.35">
      <c r="A17" s="111">
        <v>14</v>
      </c>
      <c r="B17" s="111" t="s">
        <v>2158</v>
      </c>
      <c r="C17" s="111" t="s">
        <v>2062</v>
      </c>
      <c r="D17" s="112">
        <v>1997</v>
      </c>
      <c r="E17" s="112"/>
      <c r="F17" s="112"/>
      <c r="G17" s="168" t="s">
        <v>2142</v>
      </c>
      <c r="H17" s="168">
        <f>6.7*1610</f>
        <v>10787</v>
      </c>
      <c r="I17" s="168"/>
      <c r="J17" s="154">
        <v>4</v>
      </c>
      <c r="K17" s="154">
        <v>3</v>
      </c>
      <c r="L17" s="452">
        <v>5</v>
      </c>
      <c r="M17" s="447">
        <f t="shared" si="0"/>
        <v>1510180</v>
      </c>
      <c r="N17" s="448">
        <f t="shared" si="1"/>
        <v>30200</v>
      </c>
    </row>
    <row r="18" spans="1:14" ht="25" customHeight="1" x14ac:dyDescent="0.35">
      <c r="A18" s="111">
        <v>15</v>
      </c>
      <c r="B18" s="111" t="s">
        <v>2159</v>
      </c>
      <c r="C18" s="111" t="s">
        <v>336</v>
      </c>
      <c r="D18" s="112">
        <v>1997</v>
      </c>
      <c r="E18" s="112"/>
      <c r="F18" s="112"/>
      <c r="G18" s="168" t="s">
        <v>2142</v>
      </c>
      <c r="H18" s="168">
        <f>8.8*1610</f>
        <v>14168.000000000002</v>
      </c>
      <c r="I18" s="168"/>
      <c r="J18" s="154">
        <v>4</v>
      </c>
      <c r="K18" s="154">
        <v>3</v>
      </c>
      <c r="L18" s="452">
        <v>5</v>
      </c>
      <c r="M18" s="447">
        <f t="shared" si="0"/>
        <v>1983520.0000000002</v>
      </c>
      <c r="N18" s="448">
        <f t="shared" si="1"/>
        <v>39700</v>
      </c>
    </row>
    <row r="19" spans="1:14" ht="25" customHeight="1" x14ac:dyDescent="0.35">
      <c r="A19" s="111">
        <v>16</v>
      </c>
      <c r="B19" s="111" t="s">
        <v>2160</v>
      </c>
      <c r="C19" s="111" t="s">
        <v>441</v>
      </c>
      <c r="D19" s="112">
        <v>1997</v>
      </c>
      <c r="E19" s="112"/>
      <c r="F19" s="112"/>
      <c r="G19" s="168" t="s">
        <v>2142</v>
      </c>
      <c r="H19" s="167">
        <v>5000</v>
      </c>
      <c r="I19" s="168"/>
      <c r="J19" s="154">
        <v>4</v>
      </c>
      <c r="K19" s="154">
        <v>3</v>
      </c>
      <c r="L19" s="452">
        <v>5</v>
      </c>
      <c r="M19" s="447">
        <f t="shared" si="0"/>
        <v>700000</v>
      </c>
      <c r="N19" s="448">
        <f t="shared" si="1"/>
        <v>14000</v>
      </c>
    </row>
    <row r="20" spans="1:14" ht="25" customHeight="1" x14ac:dyDescent="0.35">
      <c r="A20" s="111">
        <v>17</v>
      </c>
      <c r="B20" s="111" t="s">
        <v>2161</v>
      </c>
      <c r="C20" s="111" t="s">
        <v>1094</v>
      </c>
      <c r="D20" s="112">
        <v>1997</v>
      </c>
      <c r="E20" s="112"/>
      <c r="F20" s="112"/>
      <c r="G20" s="168" t="s">
        <v>2142</v>
      </c>
      <c r="H20" s="167">
        <v>6500</v>
      </c>
      <c r="I20" s="168"/>
      <c r="J20" s="154">
        <v>4</v>
      </c>
      <c r="K20" s="154">
        <v>3</v>
      </c>
      <c r="L20" s="452">
        <v>5</v>
      </c>
      <c r="M20" s="447">
        <f t="shared" si="0"/>
        <v>910000</v>
      </c>
      <c r="N20" s="448">
        <f t="shared" si="1"/>
        <v>18200</v>
      </c>
    </row>
    <row r="21" spans="1:14" ht="25" customHeight="1" x14ac:dyDescent="0.35">
      <c r="A21" s="111">
        <v>18</v>
      </c>
      <c r="B21" s="111" t="s">
        <v>2162</v>
      </c>
      <c r="C21" s="111" t="s">
        <v>442</v>
      </c>
      <c r="D21" s="112">
        <v>1997</v>
      </c>
      <c r="E21" s="112"/>
      <c r="F21" s="112"/>
      <c r="G21" s="168" t="s">
        <v>2142</v>
      </c>
      <c r="H21" s="167">
        <v>26150</v>
      </c>
      <c r="I21" s="168"/>
      <c r="J21" s="154">
        <v>4</v>
      </c>
      <c r="K21" s="154">
        <v>3</v>
      </c>
      <c r="L21" s="452">
        <v>5</v>
      </c>
      <c r="M21" s="447">
        <f t="shared" si="0"/>
        <v>3661000</v>
      </c>
      <c r="N21" s="448">
        <f t="shared" si="1"/>
        <v>73200</v>
      </c>
    </row>
    <row r="22" spans="1:14" ht="25" customHeight="1" x14ac:dyDescent="0.35">
      <c r="A22" s="111">
        <v>19</v>
      </c>
      <c r="B22" s="111" t="s">
        <v>2163</v>
      </c>
      <c r="C22" s="111" t="s">
        <v>2042</v>
      </c>
      <c r="D22" s="112">
        <v>1997</v>
      </c>
      <c r="E22" s="112"/>
      <c r="F22" s="112"/>
      <c r="G22" s="168" t="s">
        <v>2164</v>
      </c>
      <c r="H22" s="167">
        <v>9184</v>
      </c>
      <c r="I22" s="168"/>
      <c r="J22" s="154">
        <v>4</v>
      </c>
      <c r="K22" s="154">
        <v>3</v>
      </c>
      <c r="L22" s="452">
        <v>5</v>
      </c>
      <c r="M22" s="447">
        <f>M$1*H22</f>
        <v>1653120</v>
      </c>
      <c r="N22" s="448">
        <f t="shared" si="1"/>
        <v>33100</v>
      </c>
    </row>
    <row r="23" spans="1:14" ht="25" customHeight="1" x14ac:dyDescent="0.35">
      <c r="A23" s="111">
        <v>20</v>
      </c>
      <c r="B23" s="111" t="s">
        <v>2165</v>
      </c>
      <c r="C23" s="111" t="s">
        <v>1694</v>
      </c>
      <c r="D23" s="112">
        <v>1997</v>
      </c>
      <c r="E23" s="112"/>
      <c r="F23" s="112"/>
      <c r="G23" s="168" t="s">
        <v>2164</v>
      </c>
      <c r="H23" s="167">
        <v>18553</v>
      </c>
      <c r="I23" s="168"/>
      <c r="J23" s="154">
        <v>3</v>
      </c>
      <c r="K23" s="154">
        <v>3</v>
      </c>
      <c r="L23" s="452">
        <v>5</v>
      </c>
      <c r="M23" s="447">
        <f t="shared" ref="M23:M24" si="2">M$1*H23</f>
        <v>3339540</v>
      </c>
      <c r="N23" s="448">
        <f t="shared" si="1"/>
        <v>66800</v>
      </c>
    </row>
    <row r="24" spans="1:14" ht="25" customHeight="1" x14ac:dyDescent="0.35">
      <c r="A24" s="111">
        <v>21</v>
      </c>
      <c r="B24" s="111" t="s">
        <v>2166</v>
      </c>
      <c r="C24" s="111" t="s">
        <v>1694</v>
      </c>
      <c r="D24" s="112">
        <v>1997</v>
      </c>
      <c r="E24" s="112"/>
      <c r="F24" s="112"/>
      <c r="G24" s="168" t="s">
        <v>2164</v>
      </c>
      <c r="H24" s="167">
        <v>51914</v>
      </c>
      <c r="I24" s="168"/>
      <c r="J24" s="154">
        <v>3</v>
      </c>
      <c r="K24" s="154">
        <v>3</v>
      </c>
      <c r="L24" s="452">
        <v>5</v>
      </c>
      <c r="M24" s="447">
        <f t="shared" si="2"/>
        <v>9344520</v>
      </c>
      <c r="N24" s="448">
        <f t="shared" si="1"/>
        <v>186900</v>
      </c>
    </row>
    <row r="25" spans="1:14" ht="25" customHeight="1" x14ac:dyDescent="0.35">
      <c r="A25" s="111"/>
      <c r="B25" s="111"/>
      <c r="C25" s="111"/>
      <c r="D25" s="112"/>
      <c r="E25" s="112"/>
      <c r="F25" s="112"/>
      <c r="G25" s="168"/>
      <c r="H25" s="168"/>
      <c r="I25" s="168"/>
      <c r="J25" s="154"/>
      <c r="K25" s="154"/>
      <c r="L25" s="452"/>
      <c r="M25" s="183"/>
      <c r="N25" s="195"/>
    </row>
    <row r="26" spans="1:14" ht="25" customHeight="1" x14ac:dyDescent="0.35">
      <c r="A26" s="111"/>
      <c r="B26" s="111"/>
      <c r="C26" s="111"/>
      <c r="D26" s="112"/>
      <c r="E26" s="112"/>
      <c r="F26" s="112"/>
      <c r="G26" s="168"/>
      <c r="H26" s="168"/>
      <c r="I26" s="168"/>
      <c r="J26" s="154"/>
      <c r="K26" s="154"/>
      <c r="L26" s="452"/>
      <c r="M26" s="441">
        <f>SUM(M4:M24)</f>
        <v>33844290</v>
      </c>
      <c r="N26" s="441">
        <f>SUM(N4:N24)</f>
        <v>676800</v>
      </c>
    </row>
    <row r="27" spans="1:14" ht="25" customHeight="1" x14ac:dyDescent="0.35">
      <c r="A27" s="111"/>
      <c r="B27" s="111"/>
      <c r="C27" s="111"/>
      <c r="D27" s="112"/>
      <c r="E27" s="112"/>
      <c r="F27" s="112"/>
      <c r="G27" s="168"/>
      <c r="H27" s="168"/>
      <c r="I27" s="168"/>
      <c r="J27" s="154"/>
      <c r="K27" s="154"/>
      <c r="L27" s="154"/>
    </row>
    <row r="28" spans="1:14" ht="25" customHeight="1" x14ac:dyDescent="0.35">
      <c r="A28" s="111"/>
      <c r="B28" s="111"/>
      <c r="C28" s="111"/>
      <c r="D28" s="112"/>
      <c r="E28" s="112"/>
      <c r="F28" s="112"/>
      <c r="G28" s="168"/>
      <c r="H28" s="168"/>
      <c r="I28" s="168"/>
      <c r="J28" s="154"/>
      <c r="K28" s="154"/>
      <c r="L28" s="154"/>
    </row>
    <row r="29" spans="1:14" ht="25" customHeight="1" x14ac:dyDescent="0.35">
      <c r="A29" s="111"/>
      <c r="B29" s="111"/>
      <c r="C29" s="111"/>
      <c r="D29" s="112"/>
      <c r="E29" s="112"/>
      <c r="F29" s="112"/>
      <c r="G29" s="168"/>
      <c r="H29" s="168"/>
      <c r="I29" s="168"/>
      <c r="J29" s="154"/>
      <c r="K29" s="154"/>
      <c r="L29" s="154"/>
    </row>
    <row r="30" spans="1:14" ht="25" customHeight="1" x14ac:dyDescent="0.35">
      <c r="A30" s="111"/>
      <c r="B30" s="111"/>
      <c r="C30" s="111"/>
      <c r="D30" s="112"/>
      <c r="E30" s="112"/>
      <c r="F30" s="112"/>
      <c r="G30" s="168"/>
      <c r="H30" s="168"/>
      <c r="I30" s="168"/>
      <c r="J30" s="154"/>
      <c r="K30" s="154"/>
      <c r="L30" s="154"/>
    </row>
    <row r="31" spans="1:14" ht="25" customHeight="1" x14ac:dyDescent="0.35">
      <c r="A31" s="111"/>
      <c r="B31" s="111"/>
      <c r="C31" s="111"/>
      <c r="D31" s="112"/>
      <c r="E31" s="112"/>
      <c r="F31" s="112"/>
      <c r="G31" s="168"/>
      <c r="H31" s="168"/>
      <c r="I31" s="168"/>
      <c r="J31" s="154"/>
      <c r="K31" s="154"/>
      <c r="L31" s="154"/>
    </row>
    <row r="32" spans="1:14" ht="25" customHeight="1" x14ac:dyDescent="0.35">
      <c r="A32" s="111"/>
      <c r="B32" s="111"/>
      <c r="C32" s="111"/>
      <c r="D32" s="112"/>
      <c r="E32" s="112"/>
      <c r="F32" s="112"/>
      <c r="G32" s="168"/>
      <c r="H32" s="168"/>
      <c r="I32" s="168"/>
      <c r="J32" s="154"/>
      <c r="K32" s="154"/>
      <c r="L32" s="154"/>
    </row>
    <row r="33" spans="1:12" ht="25" customHeight="1" x14ac:dyDescent="0.35">
      <c r="A33" s="111"/>
      <c r="B33" s="111"/>
      <c r="C33" s="111"/>
      <c r="D33" s="112"/>
      <c r="E33" s="112"/>
      <c r="F33" s="112"/>
      <c r="G33" s="168"/>
      <c r="H33" s="168"/>
      <c r="I33" s="168"/>
      <c r="J33" s="154"/>
      <c r="K33" s="154"/>
      <c r="L33" s="154"/>
    </row>
    <row r="34" spans="1:12" ht="25" customHeight="1" x14ac:dyDescent="0.35">
      <c r="A34" s="111"/>
      <c r="B34" s="111"/>
      <c r="C34" s="111"/>
      <c r="D34" s="112"/>
      <c r="E34" s="112"/>
      <c r="F34" s="112"/>
      <c r="G34" s="168"/>
      <c r="H34" s="168"/>
      <c r="I34" s="168"/>
      <c r="J34" s="154"/>
      <c r="K34" s="154"/>
      <c r="L34" s="154"/>
    </row>
    <row r="35" spans="1:12" ht="25" customHeight="1" x14ac:dyDescent="0.35">
      <c r="A35" s="111"/>
      <c r="B35" s="111"/>
      <c r="C35" s="111"/>
      <c r="D35" s="112"/>
      <c r="E35" s="112"/>
      <c r="F35" s="112"/>
      <c r="G35" s="168"/>
      <c r="H35" s="168"/>
      <c r="I35" s="168"/>
      <c r="J35" s="154"/>
      <c r="K35" s="154"/>
      <c r="L35" s="154"/>
    </row>
    <row r="36" spans="1:12" ht="25" customHeight="1" x14ac:dyDescent="0.35">
      <c r="A36" s="111"/>
      <c r="B36" s="111"/>
      <c r="C36" s="111"/>
      <c r="D36" s="112"/>
      <c r="E36" s="112"/>
      <c r="F36" s="112"/>
      <c r="G36" s="168"/>
      <c r="H36" s="168"/>
      <c r="I36" s="168"/>
      <c r="J36" s="154"/>
      <c r="K36" s="154"/>
      <c r="L36" s="154"/>
    </row>
    <row r="37" spans="1:12" ht="25" customHeight="1" x14ac:dyDescent="0.35">
      <c r="A37" s="111"/>
      <c r="B37" s="111"/>
      <c r="C37" s="111"/>
      <c r="D37" s="112"/>
      <c r="E37" s="112"/>
      <c r="F37" s="112"/>
      <c r="G37" s="168"/>
      <c r="H37" s="168"/>
      <c r="I37" s="168"/>
      <c r="J37" s="154"/>
      <c r="K37" s="154"/>
      <c r="L37" s="154"/>
    </row>
    <row r="38" spans="1:12" ht="25" customHeight="1" x14ac:dyDescent="0.35">
      <c r="A38" s="111"/>
      <c r="B38" s="111"/>
      <c r="C38" s="111"/>
      <c r="D38" s="112"/>
      <c r="E38" s="112"/>
      <c r="F38" s="112"/>
      <c r="G38" s="168"/>
      <c r="H38" s="168"/>
      <c r="I38" s="168"/>
      <c r="J38" s="154"/>
      <c r="K38" s="154"/>
      <c r="L38" s="154"/>
    </row>
    <row r="39" spans="1:12" ht="25" customHeight="1" x14ac:dyDescent="0.35">
      <c r="A39" s="111"/>
      <c r="B39" s="111"/>
      <c r="C39" s="111"/>
      <c r="D39" s="112"/>
      <c r="E39" s="112"/>
      <c r="F39" s="112"/>
      <c r="G39" s="168"/>
      <c r="H39" s="168"/>
      <c r="I39" s="168"/>
      <c r="J39" s="154"/>
      <c r="K39" s="154"/>
      <c r="L39" s="154"/>
    </row>
    <row r="40" spans="1:12" ht="25" customHeight="1" x14ac:dyDescent="0.35">
      <c r="A40" s="111"/>
      <c r="B40" s="111"/>
      <c r="C40" s="111"/>
      <c r="D40" s="112"/>
      <c r="E40" s="112"/>
      <c r="F40" s="112"/>
      <c r="G40" s="168"/>
      <c r="H40" s="168"/>
      <c r="I40" s="168"/>
      <c r="J40" s="154"/>
      <c r="K40" s="154"/>
      <c r="L40" s="154"/>
    </row>
    <row r="41" spans="1:12" ht="25" customHeight="1" x14ac:dyDescent="0.35">
      <c r="A41" s="111"/>
      <c r="B41" s="111"/>
      <c r="C41" s="111"/>
      <c r="D41" s="112"/>
      <c r="E41" s="112"/>
      <c r="F41" s="112"/>
      <c r="G41" s="168"/>
      <c r="H41" s="168"/>
      <c r="I41" s="168"/>
      <c r="J41" s="154"/>
      <c r="K41" s="154"/>
      <c r="L41" s="154"/>
    </row>
    <row r="42" spans="1:12" ht="25" customHeight="1" x14ac:dyDescent="0.35">
      <c r="A42" s="111"/>
      <c r="B42" s="111"/>
      <c r="C42" s="111"/>
      <c r="D42" s="112"/>
      <c r="E42" s="112"/>
      <c r="F42" s="112"/>
      <c r="G42" s="168"/>
      <c r="H42" s="168"/>
      <c r="I42" s="168"/>
      <c r="J42" s="154"/>
      <c r="K42" s="154"/>
      <c r="L42" s="154"/>
    </row>
    <row r="43" spans="1:12" ht="25" customHeight="1" x14ac:dyDescent="0.35">
      <c r="A43" s="111"/>
      <c r="B43" s="111"/>
      <c r="C43" s="111"/>
      <c r="D43" s="112"/>
      <c r="E43" s="112"/>
      <c r="F43" s="112"/>
      <c r="G43" s="168"/>
      <c r="H43" s="168"/>
      <c r="I43" s="168"/>
      <c r="J43" s="154"/>
      <c r="K43" s="154"/>
      <c r="L43" s="154"/>
    </row>
    <row r="44" spans="1:12" ht="25" customHeight="1" x14ac:dyDescent="0.35">
      <c r="A44" s="111"/>
      <c r="B44" s="111"/>
      <c r="C44" s="111"/>
      <c r="D44" s="112"/>
      <c r="E44" s="112"/>
      <c r="F44" s="112"/>
      <c r="G44" s="168"/>
      <c r="H44" s="168"/>
      <c r="I44" s="168"/>
      <c r="J44" s="154"/>
      <c r="K44" s="154"/>
      <c r="L44" s="154"/>
    </row>
    <row r="45" spans="1:12" ht="25" customHeight="1" x14ac:dyDescent="0.35">
      <c r="A45" s="111"/>
      <c r="B45" s="111"/>
      <c r="C45" s="111"/>
      <c r="D45" s="112"/>
      <c r="E45" s="112"/>
      <c r="F45" s="112"/>
      <c r="G45" s="168"/>
      <c r="H45" s="168"/>
      <c r="I45" s="168"/>
      <c r="J45" s="154"/>
      <c r="K45" s="154"/>
      <c r="L45" s="154"/>
    </row>
    <row r="46" spans="1:12" ht="25" customHeight="1" x14ac:dyDescent="0.35">
      <c r="A46" s="111"/>
      <c r="B46" s="111"/>
      <c r="C46" s="111"/>
      <c r="D46" s="112"/>
      <c r="E46" s="112"/>
      <c r="F46" s="112"/>
      <c r="G46" s="168"/>
      <c r="H46" s="168"/>
      <c r="I46" s="168"/>
      <c r="J46" s="154"/>
      <c r="K46" s="154"/>
      <c r="L46" s="154"/>
    </row>
    <row r="47" spans="1:12" ht="25" customHeight="1" x14ac:dyDescent="0.35">
      <c r="A47" s="111"/>
      <c r="B47" s="111"/>
      <c r="C47" s="111"/>
      <c r="D47" s="112"/>
      <c r="E47" s="112"/>
      <c r="F47" s="112"/>
      <c r="G47" s="168"/>
      <c r="H47" s="168"/>
      <c r="I47" s="168"/>
      <c r="J47" s="154"/>
      <c r="K47" s="154"/>
      <c r="L47" s="154"/>
    </row>
    <row r="48" spans="1:12" ht="25" customHeight="1" x14ac:dyDescent="0.35">
      <c r="A48" s="111"/>
      <c r="B48" s="111"/>
      <c r="C48" s="111"/>
      <c r="D48" s="112"/>
      <c r="E48" s="112"/>
      <c r="F48" s="112"/>
      <c r="G48" s="168"/>
      <c r="H48" s="168"/>
      <c r="I48" s="168"/>
      <c r="J48" s="154"/>
      <c r="K48" s="154"/>
      <c r="L48" s="154"/>
    </row>
    <row r="49" spans="1:12" ht="25" customHeight="1" x14ac:dyDescent="0.35">
      <c r="A49" s="111"/>
      <c r="B49" s="111"/>
      <c r="C49" s="111"/>
      <c r="D49" s="112"/>
      <c r="E49" s="112"/>
      <c r="F49" s="112"/>
      <c r="G49" s="168"/>
      <c r="H49" s="168"/>
      <c r="I49" s="168"/>
      <c r="J49" s="154"/>
      <c r="K49" s="154"/>
      <c r="L49" s="154"/>
    </row>
    <row r="50" spans="1:12" ht="25" customHeight="1" x14ac:dyDescent="0.35">
      <c r="A50" s="111"/>
      <c r="B50" s="111"/>
      <c r="C50" s="111"/>
      <c r="D50" s="112"/>
      <c r="E50" s="112"/>
      <c r="F50" s="112"/>
      <c r="G50" s="168"/>
      <c r="H50" s="168"/>
      <c r="I50" s="168"/>
      <c r="J50" s="154"/>
      <c r="K50" s="154"/>
      <c r="L50" s="154"/>
    </row>
    <row r="51" spans="1:12" ht="25" customHeight="1" x14ac:dyDescent="0.35">
      <c r="A51" s="111"/>
      <c r="B51" s="111"/>
      <c r="C51" s="111"/>
      <c r="D51" s="112"/>
      <c r="E51" s="112"/>
      <c r="F51" s="112"/>
      <c r="G51" s="168"/>
      <c r="H51" s="168"/>
      <c r="I51" s="168"/>
      <c r="J51" s="154"/>
      <c r="K51" s="154"/>
      <c r="L51" s="154"/>
    </row>
    <row r="52" spans="1:12" ht="25" customHeight="1" x14ac:dyDescent="0.35">
      <c r="A52" s="111"/>
      <c r="B52" s="111"/>
      <c r="C52" s="111"/>
      <c r="D52" s="112"/>
      <c r="E52" s="112"/>
      <c r="F52" s="112"/>
      <c r="G52" s="168"/>
      <c r="H52" s="168"/>
      <c r="I52" s="168"/>
      <c r="J52" s="154"/>
      <c r="K52" s="154"/>
      <c r="L52" s="154"/>
    </row>
    <row r="53" spans="1:12" ht="25" customHeight="1" x14ac:dyDescent="0.35">
      <c r="A53" s="111"/>
      <c r="B53" s="111"/>
      <c r="C53" s="111"/>
      <c r="D53" s="112"/>
      <c r="E53" s="112"/>
      <c r="F53" s="112"/>
      <c r="G53" s="168"/>
      <c r="H53" s="168"/>
      <c r="I53" s="168"/>
      <c r="J53" s="154"/>
      <c r="K53" s="154"/>
      <c r="L53" s="154"/>
    </row>
    <row r="54" spans="1:12" ht="25" customHeight="1" x14ac:dyDescent="0.35">
      <c r="A54" s="111"/>
      <c r="B54" s="111"/>
      <c r="C54" s="111"/>
      <c r="D54" s="112"/>
      <c r="E54" s="112"/>
      <c r="F54" s="112"/>
      <c r="G54" s="168"/>
      <c r="H54" s="168"/>
      <c r="I54" s="168"/>
      <c r="J54" s="154"/>
      <c r="K54" s="154"/>
      <c r="L54" s="154"/>
    </row>
    <row r="55" spans="1:12" ht="25" customHeight="1" x14ac:dyDescent="0.35">
      <c r="A55" s="111"/>
      <c r="B55" s="111"/>
      <c r="C55" s="111"/>
      <c r="D55" s="112"/>
      <c r="E55" s="112"/>
      <c r="F55" s="112"/>
      <c r="G55" s="168"/>
      <c r="H55" s="168"/>
      <c r="I55" s="168"/>
      <c r="J55" s="154"/>
      <c r="K55" s="154"/>
      <c r="L55" s="154"/>
    </row>
    <row r="56" spans="1:12" ht="25" customHeight="1" x14ac:dyDescent="0.35">
      <c r="A56" s="111"/>
      <c r="B56" s="111"/>
      <c r="C56" s="111"/>
      <c r="D56" s="112"/>
      <c r="E56" s="112"/>
      <c r="F56" s="112"/>
      <c r="G56" s="168"/>
      <c r="H56" s="168"/>
      <c r="I56" s="168"/>
      <c r="J56" s="154"/>
      <c r="K56" s="154"/>
      <c r="L56" s="154"/>
    </row>
    <row r="57" spans="1:12" ht="25" customHeight="1" x14ac:dyDescent="0.35">
      <c r="A57" s="111"/>
      <c r="B57" s="111"/>
      <c r="C57" s="111"/>
      <c r="D57" s="112"/>
      <c r="E57" s="112"/>
      <c r="F57" s="112"/>
      <c r="G57" s="168"/>
      <c r="H57" s="168"/>
      <c r="I57" s="168"/>
      <c r="J57" s="154"/>
      <c r="K57" s="154"/>
      <c r="L57" s="154"/>
    </row>
    <row r="58" spans="1:12" ht="25" customHeight="1" x14ac:dyDescent="0.35">
      <c r="A58" s="111"/>
      <c r="B58" s="111"/>
      <c r="C58" s="111"/>
      <c r="D58" s="112"/>
      <c r="E58" s="112"/>
      <c r="F58" s="112"/>
      <c r="G58" s="168"/>
      <c r="H58" s="168"/>
      <c r="I58" s="168"/>
      <c r="J58" s="154"/>
      <c r="K58" s="154"/>
      <c r="L58" s="154"/>
    </row>
    <row r="59" spans="1:12" ht="25" customHeight="1" x14ac:dyDescent="0.35">
      <c r="A59" s="111"/>
      <c r="B59" s="111"/>
      <c r="C59" s="111"/>
      <c r="D59" s="112"/>
      <c r="E59" s="112"/>
      <c r="F59" s="112"/>
      <c r="G59" s="168"/>
      <c r="H59" s="168"/>
      <c r="I59" s="168"/>
      <c r="J59" s="154"/>
      <c r="K59" s="154"/>
      <c r="L59" s="154"/>
    </row>
    <row r="60" spans="1:12" ht="25" customHeight="1" x14ac:dyDescent="0.35">
      <c r="A60" s="111"/>
      <c r="B60" s="111"/>
      <c r="C60" s="111"/>
      <c r="D60" s="112"/>
      <c r="E60" s="112"/>
      <c r="F60" s="112"/>
      <c r="G60" s="168"/>
      <c r="H60" s="168"/>
      <c r="I60" s="168"/>
      <c r="J60" s="154"/>
      <c r="K60" s="154"/>
      <c r="L60" s="154"/>
    </row>
    <row r="61" spans="1:12" ht="25" customHeight="1" x14ac:dyDescent="0.35">
      <c r="A61" s="111"/>
      <c r="B61" s="111"/>
      <c r="C61" s="111"/>
      <c r="D61" s="112"/>
      <c r="E61" s="112"/>
      <c r="F61" s="112"/>
      <c r="G61" s="168"/>
      <c r="H61" s="168"/>
      <c r="I61" s="168"/>
      <c r="J61" s="154"/>
      <c r="K61" s="154"/>
      <c r="L61" s="154"/>
    </row>
    <row r="62" spans="1:12" ht="25" customHeight="1" x14ac:dyDescent="0.35">
      <c r="A62" s="111"/>
      <c r="B62" s="111"/>
      <c r="C62" s="111"/>
      <c r="D62" s="112"/>
      <c r="E62" s="112"/>
      <c r="F62" s="112"/>
      <c r="G62" s="168"/>
      <c r="H62" s="168"/>
      <c r="I62" s="168"/>
      <c r="J62" s="154"/>
      <c r="K62" s="154"/>
      <c r="L62" s="154"/>
    </row>
    <row r="63" spans="1:12" ht="25" customHeight="1" x14ac:dyDescent="0.35">
      <c r="A63" s="111"/>
      <c r="B63" s="111"/>
      <c r="C63" s="111"/>
      <c r="D63" s="112"/>
      <c r="E63" s="112"/>
      <c r="F63" s="112"/>
      <c r="G63" s="168"/>
      <c r="H63" s="168"/>
      <c r="I63" s="168"/>
      <c r="J63" s="154"/>
      <c r="K63" s="154"/>
      <c r="L63" s="154"/>
    </row>
    <row r="64" spans="1:12" ht="25" customHeight="1" x14ac:dyDescent="0.35">
      <c r="A64" s="111"/>
      <c r="B64" s="111"/>
      <c r="C64" s="111"/>
      <c r="D64" s="112"/>
      <c r="E64" s="112"/>
      <c r="F64" s="112"/>
      <c r="G64" s="168"/>
      <c r="H64" s="168"/>
      <c r="I64" s="168"/>
      <c r="J64" s="154"/>
      <c r="K64" s="154"/>
      <c r="L64" s="154"/>
    </row>
    <row r="65" spans="1:12" ht="25" customHeight="1" x14ac:dyDescent="0.35">
      <c r="A65" s="111"/>
      <c r="B65" s="111"/>
      <c r="C65" s="111"/>
      <c r="D65" s="112"/>
      <c r="E65" s="112"/>
      <c r="F65" s="112"/>
      <c r="G65" s="168"/>
      <c r="H65" s="168"/>
      <c r="I65" s="168"/>
      <c r="J65" s="154"/>
      <c r="K65" s="154"/>
      <c r="L65" s="154"/>
    </row>
    <row r="66" spans="1:12" ht="25" customHeight="1" x14ac:dyDescent="0.35">
      <c r="A66" s="111"/>
      <c r="B66" s="111"/>
      <c r="C66" s="111"/>
      <c r="D66" s="112"/>
      <c r="E66" s="112"/>
      <c r="F66" s="112"/>
      <c r="G66" s="168"/>
      <c r="H66" s="168"/>
      <c r="I66" s="168"/>
      <c r="J66" s="154"/>
      <c r="K66" s="154"/>
      <c r="L66" s="154"/>
    </row>
    <row r="67" spans="1:12" ht="25" customHeight="1" x14ac:dyDescent="0.35">
      <c r="A67" s="111"/>
      <c r="B67" s="111"/>
      <c r="C67" s="111"/>
      <c r="D67" s="112"/>
      <c r="E67" s="112"/>
      <c r="F67" s="112"/>
      <c r="G67" s="168"/>
      <c r="H67" s="168"/>
      <c r="I67" s="168"/>
      <c r="J67" s="154"/>
      <c r="K67" s="154"/>
      <c r="L67" s="154"/>
    </row>
    <row r="68" spans="1:12" ht="25" customHeight="1" x14ac:dyDescent="0.35">
      <c r="A68" s="111"/>
      <c r="B68" s="111"/>
      <c r="C68" s="111"/>
      <c r="D68" s="112"/>
      <c r="E68" s="112"/>
      <c r="F68" s="112"/>
      <c r="G68" s="168"/>
      <c r="H68" s="168"/>
      <c r="I68" s="168"/>
      <c r="J68" s="154"/>
      <c r="K68" s="154"/>
      <c r="L68" s="154"/>
    </row>
    <row r="69" spans="1:12" ht="25" customHeight="1" x14ac:dyDescent="0.35">
      <c r="A69" s="111"/>
      <c r="B69" s="111"/>
      <c r="C69" s="111"/>
      <c r="D69" s="112"/>
      <c r="E69" s="112"/>
      <c r="F69" s="112"/>
      <c r="G69" s="168"/>
      <c r="H69" s="168"/>
      <c r="I69" s="168"/>
      <c r="J69" s="154"/>
      <c r="K69" s="154"/>
      <c r="L69" s="154"/>
    </row>
    <row r="70" spans="1:12" ht="25" customHeight="1" x14ac:dyDescent="0.35">
      <c r="A70" s="111"/>
      <c r="B70" s="111"/>
      <c r="C70" s="111"/>
      <c r="D70" s="112"/>
      <c r="E70" s="112"/>
      <c r="F70" s="112"/>
      <c r="G70" s="168"/>
      <c r="H70" s="168"/>
      <c r="I70" s="168"/>
      <c r="J70" s="154"/>
      <c r="K70" s="154"/>
      <c r="L70" s="154"/>
    </row>
    <row r="71" spans="1:12" ht="25" customHeight="1" x14ac:dyDescent="0.35">
      <c r="A71" s="111"/>
      <c r="B71" s="111"/>
      <c r="C71" s="111"/>
      <c r="D71" s="112"/>
      <c r="E71" s="112"/>
      <c r="F71" s="112"/>
      <c r="G71" s="168"/>
      <c r="H71" s="168"/>
      <c r="I71" s="168"/>
      <c r="J71" s="154"/>
      <c r="K71" s="154"/>
      <c r="L71" s="154"/>
    </row>
    <row r="72" spans="1:12" ht="25" customHeight="1" x14ac:dyDescent="0.35">
      <c r="A72" s="111"/>
      <c r="B72" s="111"/>
      <c r="C72" s="111"/>
      <c r="D72" s="112"/>
      <c r="E72" s="112"/>
      <c r="F72" s="112"/>
      <c r="G72" s="168"/>
      <c r="H72" s="168"/>
      <c r="I72" s="168"/>
      <c r="J72" s="154"/>
      <c r="K72" s="154"/>
      <c r="L72" s="154"/>
    </row>
    <row r="73" spans="1:12" ht="25" customHeight="1" x14ac:dyDescent="0.35">
      <c r="A73" s="111"/>
      <c r="B73" s="111"/>
      <c r="C73" s="111"/>
      <c r="D73" s="112"/>
      <c r="E73" s="112"/>
      <c r="F73" s="112"/>
      <c r="G73" s="168"/>
      <c r="H73" s="168"/>
      <c r="I73" s="168"/>
      <c r="J73" s="154"/>
      <c r="K73" s="154"/>
      <c r="L73" s="154"/>
    </row>
    <row r="74" spans="1:12" ht="25" customHeight="1" x14ac:dyDescent="0.35">
      <c r="A74" s="111"/>
      <c r="B74" s="111"/>
      <c r="C74" s="111"/>
      <c r="D74" s="112"/>
      <c r="E74" s="112"/>
      <c r="F74" s="112"/>
      <c r="G74" s="168"/>
      <c r="H74" s="168"/>
      <c r="I74" s="168"/>
      <c r="J74" s="154"/>
      <c r="K74" s="154"/>
      <c r="L74" s="154"/>
    </row>
    <row r="75" spans="1:12" ht="25" customHeight="1" x14ac:dyDescent="0.35">
      <c r="A75" s="111"/>
      <c r="B75" s="111"/>
      <c r="C75" s="111"/>
      <c r="D75" s="112"/>
      <c r="E75" s="112"/>
      <c r="F75" s="112"/>
      <c r="G75" s="168"/>
      <c r="H75" s="168"/>
      <c r="I75" s="168"/>
      <c r="J75" s="154"/>
      <c r="K75" s="154"/>
      <c r="L75" s="154"/>
    </row>
    <row r="76" spans="1:12" ht="25" customHeight="1" x14ac:dyDescent="0.35">
      <c r="A76" s="111"/>
      <c r="B76" s="111"/>
      <c r="C76" s="111"/>
      <c r="D76" s="112"/>
      <c r="E76" s="112"/>
      <c r="F76" s="112"/>
      <c r="G76" s="168"/>
      <c r="H76" s="168"/>
      <c r="I76" s="168"/>
      <c r="J76" s="154"/>
      <c r="K76" s="154"/>
      <c r="L76" s="154"/>
    </row>
    <row r="77" spans="1:12" ht="25" customHeight="1" x14ac:dyDescent="0.35">
      <c r="A77" s="111"/>
      <c r="B77" s="111"/>
      <c r="C77" s="111"/>
      <c r="D77" s="112"/>
      <c r="E77" s="112"/>
      <c r="F77" s="112"/>
      <c r="G77" s="168"/>
      <c r="H77" s="168"/>
      <c r="I77" s="168"/>
      <c r="J77" s="154"/>
      <c r="K77" s="154"/>
      <c r="L77" s="154"/>
    </row>
    <row r="78" spans="1:12" ht="25" customHeight="1" x14ac:dyDescent="0.35">
      <c r="A78" s="111"/>
      <c r="B78" s="111"/>
      <c r="C78" s="111"/>
      <c r="D78" s="112"/>
      <c r="E78" s="112"/>
      <c r="F78" s="112"/>
      <c r="G78" s="168"/>
      <c r="H78" s="168"/>
      <c r="I78" s="168"/>
      <c r="J78" s="154"/>
      <c r="K78" s="154"/>
      <c r="L78" s="154"/>
    </row>
    <row r="79" spans="1:12" ht="25" customHeight="1" x14ac:dyDescent="0.35">
      <c r="A79" s="111"/>
      <c r="B79" s="111"/>
      <c r="C79" s="111"/>
      <c r="D79" s="112"/>
      <c r="E79" s="112"/>
      <c r="F79" s="112"/>
      <c r="G79" s="168"/>
      <c r="H79" s="168"/>
      <c r="I79" s="168"/>
      <c r="J79" s="154"/>
      <c r="K79" s="154"/>
      <c r="L79" s="154"/>
    </row>
    <row r="80" spans="1:12" ht="25" customHeight="1" x14ac:dyDescent="0.35">
      <c r="A80" s="111"/>
      <c r="B80" s="111"/>
      <c r="C80" s="111"/>
      <c r="D80" s="112"/>
      <c r="E80" s="112"/>
      <c r="F80" s="112"/>
      <c r="G80" s="168"/>
      <c r="H80" s="168"/>
      <c r="I80" s="168"/>
      <c r="J80" s="154"/>
      <c r="K80" s="154"/>
      <c r="L80" s="154"/>
    </row>
    <row r="81" spans="1:12" ht="25" customHeight="1" x14ac:dyDescent="0.35">
      <c r="A81" s="111"/>
      <c r="B81" s="111"/>
      <c r="C81" s="111"/>
      <c r="D81" s="112"/>
      <c r="E81" s="112"/>
      <c r="F81" s="112"/>
      <c r="G81" s="168"/>
      <c r="H81" s="168"/>
      <c r="I81" s="168"/>
      <c r="J81" s="154"/>
      <c r="K81" s="154"/>
      <c r="L81" s="154"/>
    </row>
    <row r="82" spans="1:12" ht="25" customHeight="1" x14ac:dyDescent="0.35">
      <c r="A82" s="111"/>
      <c r="B82" s="111"/>
      <c r="C82" s="111"/>
      <c r="D82" s="112"/>
      <c r="E82" s="112"/>
      <c r="F82" s="112"/>
      <c r="G82" s="168"/>
      <c r="H82" s="168"/>
      <c r="I82" s="168"/>
      <c r="J82" s="154"/>
      <c r="K82" s="154"/>
      <c r="L82" s="154"/>
    </row>
    <row r="83" spans="1:12" ht="25" customHeight="1" x14ac:dyDescent="0.35">
      <c r="A83" s="111"/>
      <c r="B83" s="111"/>
      <c r="C83" s="111"/>
      <c r="D83" s="112"/>
      <c r="E83" s="112"/>
      <c r="F83" s="112"/>
      <c r="G83" s="168"/>
      <c r="H83" s="168"/>
      <c r="I83" s="168"/>
      <c r="J83" s="154"/>
      <c r="K83" s="154"/>
      <c r="L83" s="154"/>
    </row>
    <row r="84" spans="1:12" ht="25" customHeight="1" x14ac:dyDescent="0.35">
      <c r="A84" s="111"/>
      <c r="B84" s="111"/>
      <c r="C84" s="111"/>
      <c r="D84" s="112"/>
      <c r="E84" s="112"/>
      <c r="F84" s="112"/>
      <c r="G84" s="168"/>
      <c r="H84" s="168"/>
      <c r="I84" s="168"/>
      <c r="J84" s="154"/>
      <c r="K84" s="154"/>
      <c r="L84" s="154"/>
    </row>
    <row r="85" spans="1:12" ht="25" customHeight="1" x14ac:dyDescent="0.35">
      <c r="A85" s="111"/>
      <c r="B85" s="111"/>
      <c r="C85" s="111"/>
      <c r="D85" s="112"/>
      <c r="E85" s="112"/>
      <c r="F85" s="112"/>
      <c r="G85" s="117"/>
      <c r="H85" s="117"/>
      <c r="I85" s="117"/>
      <c r="J85" s="154"/>
      <c r="K85" s="154"/>
      <c r="L85" s="154"/>
    </row>
    <row r="86" spans="1:12" ht="25" customHeight="1" x14ac:dyDescent="0.35">
      <c r="A86" s="111"/>
      <c r="B86" s="111"/>
      <c r="C86" s="111"/>
      <c r="D86" s="112"/>
      <c r="E86" s="112"/>
      <c r="F86" s="112"/>
      <c r="G86" s="117"/>
      <c r="H86" s="117"/>
      <c r="I86" s="117"/>
      <c r="J86" s="154"/>
      <c r="K86" s="154"/>
      <c r="L86" s="154"/>
    </row>
    <row r="87" spans="1:12" ht="25" customHeight="1" x14ac:dyDescent="0.35">
      <c r="A87" s="111"/>
      <c r="B87" s="111"/>
      <c r="C87" s="111"/>
      <c r="D87" s="112"/>
      <c r="E87" s="112"/>
      <c r="F87" s="112"/>
      <c r="G87" s="117"/>
      <c r="H87" s="117"/>
      <c r="I87" s="117"/>
      <c r="J87" s="154"/>
      <c r="K87" s="154"/>
      <c r="L87" s="154"/>
    </row>
    <row r="88" spans="1:12" ht="25" customHeight="1" x14ac:dyDescent="0.35">
      <c r="A88" s="111"/>
      <c r="B88" s="111"/>
      <c r="C88" s="111"/>
      <c r="D88" s="112"/>
      <c r="E88" s="112"/>
      <c r="F88" s="112"/>
      <c r="G88" s="117"/>
      <c r="H88" s="117"/>
      <c r="I88" s="117"/>
      <c r="J88" s="154"/>
      <c r="K88" s="154"/>
      <c r="L88" s="154"/>
    </row>
    <row r="89" spans="1:12" ht="25" customHeight="1" x14ac:dyDescent="0.35">
      <c r="A89" s="111"/>
      <c r="B89" s="111"/>
      <c r="C89" s="111"/>
      <c r="D89" s="112"/>
      <c r="E89" s="112"/>
      <c r="F89" s="112"/>
      <c r="G89" s="117"/>
      <c r="H89" s="117"/>
      <c r="I89" s="117"/>
      <c r="J89" s="154"/>
      <c r="K89" s="154"/>
      <c r="L89" s="154"/>
    </row>
    <row r="90" spans="1:12" ht="25" customHeight="1" x14ac:dyDescent="0.35">
      <c r="A90" s="111"/>
      <c r="B90" s="111"/>
      <c r="C90" s="111"/>
      <c r="D90" s="112"/>
      <c r="E90" s="112"/>
      <c r="F90" s="112"/>
      <c r="G90" s="117"/>
      <c r="H90" s="117"/>
      <c r="I90" s="117"/>
      <c r="J90" s="154"/>
      <c r="K90" s="154"/>
      <c r="L90" s="154"/>
    </row>
    <row r="91" spans="1:12" ht="25" customHeight="1" x14ac:dyDescent="0.35">
      <c r="A91" s="111"/>
      <c r="B91" s="111"/>
      <c r="C91" s="111"/>
      <c r="D91" s="112"/>
      <c r="E91" s="112"/>
      <c r="F91" s="112"/>
      <c r="G91" s="117"/>
      <c r="H91" s="117"/>
      <c r="I91" s="117"/>
      <c r="J91" s="154"/>
      <c r="K91" s="154"/>
      <c r="L91" s="154"/>
    </row>
    <row r="92" spans="1:12" ht="25" customHeight="1" x14ac:dyDescent="0.35">
      <c r="A92" s="111"/>
      <c r="B92" s="111"/>
      <c r="C92" s="111"/>
      <c r="D92" s="112"/>
      <c r="E92" s="112"/>
      <c r="F92" s="112"/>
      <c r="G92" s="117"/>
      <c r="H92" s="117"/>
      <c r="I92" s="117"/>
      <c r="J92" s="154"/>
      <c r="K92" s="154"/>
      <c r="L92" s="154"/>
    </row>
    <row r="93" spans="1:12" ht="25" customHeight="1" x14ac:dyDescent="0.35">
      <c r="A93" s="111"/>
      <c r="B93" s="111"/>
      <c r="C93" s="111"/>
      <c r="D93" s="112"/>
      <c r="E93" s="112"/>
      <c r="F93" s="112"/>
      <c r="G93" s="117"/>
      <c r="H93" s="117"/>
      <c r="I93" s="117"/>
      <c r="J93" s="154"/>
      <c r="K93" s="154"/>
      <c r="L93" s="154"/>
    </row>
    <row r="94" spans="1:12" ht="25" customHeight="1" x14ac:dyDescent="0.35">
      <c r="A94" s="111"/>
      <c r="B94" s="111"/>
      <c r="C94" s="111"/>
      <c r="D94" s="112"/>
      <c r="E94" s="112"/>
      <c r="F94" s="112"/>
      <c r="G94" s="117"/>
      <c r="H94" s="117"/>
      <c r="I94" s="117"/>
      <c r="J94" s="154"/>
      <c r="K94" s="154"/>
      <c r="L94" s="154"/>
    </row>
    <row r="95" spans="1:12" ht="25" customHeight="1" x14ac:dyDescent="0.35">
      <c r="A95" s="111"/>
      <c r="B95" s="111"/>
      <c r="C95" s="111"/>
      <c r="D95" s="112"/>
      <c r="E95" s="112"/>
      <c r="F95" s="112"/>
      <c r="G95" s="117"/>
      <c r="H95" s="117"/>
      <c r="I95" s="117"/>
      <c r="J95" s="154"/>
      <c r="K95" s="154"/>
      <c r="L95" s="154"/>
    </row>
    <row r="96" spans="1:12" ht="25" customHeight="1" x14ac:dyDescent="0.35">
      <c r="A96" s="111"/>
      <c r="B96" s="111"/>
      <c r="C96" s="111"/>
      <c r="D96" s="112"/>
      <c r="E96" s="112"/>
      <c r="F96" s="112"/>
      <c r="G96" s="117"/>
      <c r="H96" s="117"/>
      <c r="I96" s="117"/>
      <c r="J96" s="154"/>
      <c r="K96" s="154"/>
      <c r="L96" s="154"/>
    </row>
    <row r="97" spans="1:12" ht="25" customHeight="1" x14ac:dyDescent="0.35">
      <c r="A97" s="111"/>
      <c r="B97" s="111"/>
      <c r="C97" s="111"/>
      <c r="D97" s="112"/>
      <c r="E97" s="112"/>
      <c r="F97" s="112"/>
      <c r="G97" s="117"/>
      <c r="H97" s="117"/>
      <c r="I97" s="117"/>
      <c r="J97" s="154"/>
      <c r="K97" s="154"/>
      <c r="L97" s="154"/>
    </row>
    <row r="98" spans="1:12" ht="25" customHeight="1" x14ac:dyDescent="0.35">
      <c r="A98" s="111"/>
      <c r="B98" s="111"/>
      <c r="C98" s="111"/>
      <c r="D98" s="112"/>
      <c r="E98" s="112"/>
      <c r="F98" s="112"/>
      <c r="G98" s="117"/>
      <c r="H98" s="117"/>
      <c r="I98" s="117"/>
      <c r="J98" s="154"/>
      <c r="K98" s="154"/>
      <c r="L98" s="154"/>
    </row>
    <row r="99" spans="1:12" ht="25" customHeight="1" x14ac:dyDescent="0.35">
      <c r="A99" s="111"/>
      <c r="B99" s="111"/>
      <c r="C99" s="111"/>
      <c r="D99" s="112"/>
      <c r="E99" s="112"/>
      <c r="F99" s="112"/>
      <c r="G99" s="117"/>
      <c r="H99" s="117"/>
      <c r="I99" s="117"/>
      <c r="J99" s="154"/>
      <c r="K99" s="154"/>
      <c r="L99" s="154"/>
    </row>
    <row r="100" spans="1:12" ht="25" customHeight="1" x14ac:dyDescent="0.35">
      <c r="A100" s="111"/>
      <c r="B100" s="111"/>
      <c r="C100" s="111"/>
      <c r="D100" s="112"/>
      <c r="E100" s="112"/>
      <c r="F100" s="112"/>
      <c r="G100" s="117"/>
      <c r="H100" s="117"/>
      <c r="I100" s="117"/>
      <c r="J100" s="154"/>
      <c r="K100" s="154"/>
      <c r="L100" s="154"/>
    </row>
    <row r="101" spans="1:12" ht="25" customHeight="1" x14ac:dyDescent="0.35">
      <c r="A101" s="111"/>
      <c r="B101" s="111"/>
      <c r="C101" s="111"/>
      <c r="D101" s="112"/>
      <c r="E101" s="112"/>
      <c r="F101" s="112"/>
      <c r="G101" s="117"/>
      <c r="H101" s="117"/>
      <c r="I101" s="117"/>
      <c r="J101" s="154"/>
      <c r="K101" s="154"/>
      <c r="L101" s="154"/>
    </row>
    <row r="102" spans="1:12" ht="25" customHeight="1" x14ac:dyDescent="0.35">
      <c r="A102" s="111"/>
      <c r="B102" s="111"/>
      <c r="C102" s="111"/>
      <c r="D102" s="112"/>
      <c r="E102" s="112"/>
      <c r="F102" s="112"/>
      <c r="G102" s="117"/>
      <c r="H102" s="117"/>
      <c r="I102" s="117"/>
      <c r="J102" s="154"/>
      <c r="K102" s="154"/>
      <c r="L102" s="154"/>
    </row>
    <row r="103" spans="1:12" ht="25" customHeight="1" x14ac:dyDescent="0.35">
      <c r="A103" s="111"/>
      <c r="B103" s="111"/>
      <c r="C103" s="111"/>
      <c r="D103" s="112"/>
      <c r="E103" s="112"/>
      <c r="F103" s="112"/>
      <c r="G103" s="117"/>
      <c r="H103" s="117"/>
      <c r="I103" s="117"/>
      <c r="J103" s="154"/>
      <c r="K103" s="154"/>
      <c r="L103" s="154"/>
    </row>
    <row r="104" spans="1:12" ht="25" customHeight="1" x14ac:dyDescent="0.35">
      <c r="A104" s="111"/>
      <c r="B104" s="111"/>
      <c r="C104" s="111"/>
      <c r="D104" s="112"/>
      <c r="E104" s="112"/>
      <c r="F104" s="112"/>
      <c r="G104" s="117"/>
      <c r="H104" s="117"/>
      <c r="I104" s="117"/>
      <c r="J104" s="154"/>
      <c r="K104" s="154"/>
      <c r="L104" s="154"/>
    </row>
    <row r="105" spans="1:12" ht="25" customHeight="1" x14ac:dyDescent="0.35">
      <c r="A105" s="111"/>
      <c r="B105" s="111"/>
      <c r="C105" s="111"/>
      <c r="D105" s="112"/>
      <c r="E105" s="112"/>
      <c r="F105" s="112"/>
      <c r="G105" s="117"/>
      <c r="H105" s="117"/>
      <c r="I105" s="117"/>
      <c r="J105" s="154"/>
      <c r="K105" s="154"/>
      <c r="L105" s="154"/>
    </row>
    <row r="106" spans="1:12" ht="25" customHeight="1" x14ac:dyDescent="0.35">
      <c r="A106" s="111"/>
      <c r="B106" s="111"/>
      <c r="C106" s="111"/>
      <c r="D106" s="112"/>
      <c r="E106" s="112"/>
      <c r="F106" s="112"/>
      <c r="G106" s="117"/>
      <c r="H106" s="117"/>
      <c r="I106" s="117"/>
      <c r="J106" s="154"/>
      <c r="K106" s="154"/>
      <c r="L106" s="154"/>
    </row>
    <row r="107" spans="1:12" ht="25" customHeight="1" x14ac:dyDescent="0.35">
      <c r="A107" s="111"/>
      <c r="B107" s="111"/>
      <c r="C107" s="111"/>
      <c r="D107" s="112"/>
      <c r="E107" s="112"/>
      <c r="F107" s="112"/>
      <c r="G107" s="117"/>
      <c r="H107" s="117"/>
      <c r="I107" s="117"/>
      <c r="J107" s="154"/>
      <c r="K107" s="154"/>
      <c r="L107" s="154"/>
    </row>
    <row r="108" spans="1:12" ht="25" customHeight="1" x14ac:dyDescent="0.35">
      <c r="A108" s="111"/>
      <c r="B108" s="111"/>
      <c r="C108" s="111"/>
      <c r="D108" s="112"/>
      <c r="E108" s="112"/>
      <c r="F108" s="112"/>
      <c r="G108" s="117"/>
      <c r="H108" s="117"/>
      <c r="I108" s="117"/>
      <c r="J108" s="154"/>
      <c r="K108" s="154"/>
      <c r="L108" s="154"/>
    </row>
    <row r="109" spans="1:12" ht="25" customHeight="1" x14ac:dyDescent="0.35">
      <c r="A109" s="111"/>
      <c r="B109" s="111"/>
      <c r="C109" s="111"/>
      <c r="D109" s="112"/>
      <c r="E109" s="112"/>
      <c r="F109" s="112"/>
      <c r="G109" s="117"/>
      <c r="H109" s="117"/>
      <c r="I109" s="117"/>
      <c r="J109" s="154"/>
      <c r="K109" s="154"/>
      <c r="L109" s="154"/>
    </row>
    <row r="110" spans="1:12" ht="25" customHeight="1" x14ac:dyDescent="0.35">
      <c r="A110" s="111"/>
      <c r="B110" s="111"/>
      <c r="C110" s="111"/>
      <c r="D110" s="112"/>
      <c r="E110" s="112"/>
      <c r="F110" s="112"/>
      <c r="G110" s="117"/>
      <c r="H110" s="117"/>
      <c r="I110" s="117"/>
      <c r="J110" s="154"/>
      <c r="K110" s="154"/>
      <c r="L110" s="154"/>
    </row>
    <row r="111" spans="1:12" ht="25" customHeight="1" x14ac:dyDescent="0.35">
      <c r="A111" s="111"/>
      <c r="B111" s="111"/>
      <c r="C111" s="111"/>
      <c r="D111" s="112"/>
      <c r="E111" s="112"/>
      <c r="F111" s="112"/>
      <c r="G111" s="117"/>
      <c r="H111" s="117"/>
      <c r="I111" s="117"/>
      <c r="J111" s="154"/>
      <c r="K111" s="154"/>
      <c r="L111" s="154"/>
    </row>
    <row r="112" spans="1:12" ht="25" customHeight="1" x14ac:dyDescent="0.35">
      <c r="A112" s="111"/>
      <c r="B112" s="111"/>
      <c r="C112" s="111"/>
      <c r="D112" s="112"/>
      <c r="E112" s="112"/>
      <c r="F112" s="112"/>
      <c r="G112" s="117"/>
      <c r="H112" s="117"/>
      <c r="I112" s="117"/>
      <c r="J112" s="154"/>
      <c r="K112" s="154"/>
      <c r="L112" s="154"/>
    </row>
    <row r="113" spans="1:12" ht="25" customHeight="1" x14ac:dyDescent="0.35">
      <c r="A113" s="111"/>
      <c r="B113" s="111"/>
      <c r="C113" s="111"/>
      <c r="D113" s="112"/>
      <c r="E113" s="112"/>
      <c r="F113" s="112"/>
      <c r="G113" s="117"/>
      <c r="H113" s="117"/>
      <c r="I113" s="117"/>
      <c r="J113" s="154"/>
      <c r="K113" s="154"/>
      <c r="L113" s="154"/>
    </row>
    <row r="114" spans="1:12" ht="25" customHeight="1" x14ac:dyDescent="0.35">
      <c r="A114" s="111"/>
      <c r="B114" s="111"/>
      <c r="C114" s="111"/>
      <c r="D114" s="112"/>
      <c r="E114" s="112"/>
      <c r="F114" s="112"/>
      <c r="G114" s="117"/>
      <c r="H114" s="117"/>
      <c r="I114" s="117"/>
      <c r="J114" s="154"/>
      <c r="K114" s="154"/>
      <c r="L114" s="154"/>
    </row>
    <row r="115" spans="1:12" ht="25" customHeight="1" x14ac:dyDescent="0.35">
      <c r="A115" s="111"/>
      <c r="B115" s="111"/>
      <c r="C115" s="111"/>
      <c r="D115" s="112"/>
      <c r="E115" s="112"/>
      <c r="F115" s="112"/>
      <c r="G115" s="117"/>
      <c r="H115" s="117"/>
      <c r="I115" s="117"/>
      <c r="J115" s="154"/>
      <c r="K115" s="154"/>
      <c r="L115" s="154"/>
    </row>
    <row r="116" spans="1:12" ht="25" customHeight="1" x14ac:dyDescent="0.35">
      <c r="A116" s="111"/>
      <c r="B116" s="111"/>
      <c r="C116" s="111"/>
      <c r="D116" s="112"/>
      <c r="E116" s="112"/>
      <c r="F116" s="112"/>
      <c r="G116" s="117"/>
      <c r="H116" s="117"/>
      <c r="I116" s="117"/>
      <c r="J116" s="154"/>
      <c r="K116" s="154"/>
      <c r="L116" s="154"/>
    </row>
    <row r="117" spans="1:12" ht="25" customHeight="1" x14ac:dyDescent="0.35">
      <c r="A117" s="111"/>
      <c r="B117" s="111"/>
      <c r="C117" s="111"/>
      <c r="D117" s="112"/>
      <c r="E117" s="112"/>
      <c r="F117" s="112"/>
      <c r="G117" s="117"/>
      <c r="H117" s="117"/>
      <c r="I117" s="117"/>
      <c r="J117" s="154"/>
      <c r="K117" s="154"/>
      <c r="L117" s="154"/>
    </row>
    <row r="118" spans="1:12" ht="25" customHeight="1" x14ac:dyDescent="0.35">
      <c r="A118" s="111"/>
      <c r="B118" s="111"/>
      <c r="C118" s="111"/>
      <c r="D118" s="112"/>
      <c r="E118" s="112"/>
      <c r="F118" s="112"/>
      <c r="G118" s="117"/>
      <c r="H118" s="117"/>
      <c r="I118" s="117"/>
      <c r="J118" s="154"/>
      <c r="K118" s="154"/>
      <c r="L118" s="154"/>
    </row>
    <row r="119" spans="1:12" ht="25" customHeight="1" x14ac:dyDescent="0.35">
      <c r="A119" s="111"/>
      <c r="B119" s="111"/>
      <c r="C119" s="111"/>
      <c r="D119" s="112"/>
      <c r="E119" s="112"/>
      <c r="F119" s="112"/>
      <c r="G119" s="117"/>
      <c r="H119" s="117"/>
      <c r="I119" s="117"/>
      <c r="J119" s="154"/>
      <c r="K119" s="154"/>
      <c r="L119" s="154"/>
    </row>
    <row r="120" spans="1:12" ht="25" customHeight="1" x14ac:dyDescent="0.35">
      <c r="A120" s="111"/>
      <c r="B120" s="111"/>
      <c r="C120" s="111"/>
      <c r="D120" s="112"/>
      <c r="E120" s="112"/>
      <c r="F120" s="112"/>
      <c r="G120" s="117"/>
      <c r="H120" s="117"/>
      <c r="I120" s="117"/>
      <c r="J120" s="154"/>
      <c r="K120" s="154"/>
      <c r="L120" s="154"/>
    </row>
    <row r="121" spans="1:12" ht="25" customHeight="1" x14ac:dyDescent="0.35">
      <c r="A121" s="111"/>
      <c r="B121" s="111"/>
      <c r="C121" s="111"/>
      <c r="D121" s="112"/>
      <c r="E121" s="112"/>
      <c r="F121" s="112"/>
      <c r="G121" s="117"/>
      <c r="H121" s="117"/>
      <c r="I121" s="117"/>
      <c r="J121" s="154"/>
      <c r="K121" s="154"/>
      <c r="L121" s="154"/>
    </row>
    <row r="122" spans="1:12" ht="25" customHeight="1" x14ac:dyDescent="0.35">
      <c r="A122" s="111"/>
      <c r="B122" s="111"/>
      <c r="C122" s="111"/>
      <c r="D122" s="112"/>
      <c r="E122" s="112"/>
      <c r="F122" s="112"/>
      <c r="G122" s="117"/>
      <c r="H122" s="117"/>
      <c r="I122" s="117"/>
      <c r="J122" s="154"/>
      <c r="K122" s="154"/>
      <c r="L122" s="154"/>
    </row>
    <row r="123" spans="1:12" ht="25" customHeight="1" x14ac:dyDescent="0.35">
      <c r="A123" s="111"/>
      <c r="B123" s="111"/>
      <c r="C123" s="111"/>
      <c r="D123" s="112"/>
      <c r="E123" s="112"/>
      <c r="F123" s="112"/>
      <c r="G123" s="117"/>
      <c r="H123" s="117"/>
      <c r="I123" s="117"/>
      <c r="J123" s="154"/>
      <c r="K123" s="154"/>
      <c r="L123" s="154"/>
    </row>
    <row r="124" spans="1:12" ht="25" customHeight="1" x14ac:dyDescent="0.35">
      <c r="A124" s="111"/>
      <c r="B124" s="111"/>
      <c r="C124" s="111"/>
      <c r="D124" s="112"/>
      <c r="E124" s="112"/>
      <c r="F124" s="112"/>
      <c r="G124" s="117"/>
      <c r="H124" s="117"/>
      <c r="I124" s="117"/>
      <c r="J124" s="154"/>
      <c r="K124" s="154"/>
      <c r="L124" s="154"/>
    </row>
    <row r="125" spans="1:12" ht="25" customHeight="1" x14ac:dyDescent="0.35">
      <c r="A125" s="111"/>
      <c r="B125" s="111"/>
      <c r="C125" s="111"/>
      <c r="D125" s="112"/>
      <c r="E125" s="112"/>
      <c r="F125" s="112"/>
      <c r="G125" s="117"/>
      <c r="H125" s="117"/>
      <c r="I125" s="117"/>
      <c r="J125" s="154"/>
      <c r="K125" s="154"/>
      <c r="L125" s="154"/>
    </row>
    <row r="126" spans="1:12" ht="25" customHeight="1" x14ac:dyDescent="0.35">
      <c r="A126" s="111"/>
      <c r="B126" s="111"/>
      <c r="C126" s="111"/>
      <c r="D126" s="112"/>
      <c r="E126" s="112"/>
      <c r="F126" s="112"/>
      <c r="G126" s="117"/>
      <c r="H126" s="117"/>
      <c r="I126" s="117"/>
      <c r="J126" s="154"/>
      <c r="K126" s="154"/>
      <c r="L126" s="154"/>
    </row>
    <row r="127" spans="1:12" ht="25" customHeight="1" x14ac:dyDescent="0.35">
      <c r="A127" s="111"/>
      <c r="B127" s="111"/>
      <c r="C127" s="111"/>
      <c r="D127" s="112"/>
      <c r="E127" s="112"/>
      <c r="F127" s="112"/>
      <c r="G127" s="117"/>
      <c r="H127" s="117"/>
      <c r="I127" s="117"/>
      <c r="J127" s="154"/>
      <c r="K127" s="154"/>
      <c r="L127" s="154"/>
    </row>
    <row r="128" spans="1:12" ht="25" customHeight="1" x14ac:dyDescent="0.35">
      <c r="A128" s="111"/>
      <c r="B128" s="111"/>
      <c r="C128" s="111"/>
      <c r="D128" s="112"/>
      <c r="E128" s="112"/>
      <c r="F128" s="112"/>
      <c r="G128" s="117"/>
      <c r="H128" s="117"/>
      <c r="I128" s="117"/>
      <c r="J128" s="154"/>
      <c r="K128" s="154"/>
      <c r="L128" s="154"/>
    </row>
    <row r="129" spans="1:12" ht="25" customHeight="1" x14ac:dyDescent="0.35">
      <c r="A129" s="111"/>
      <c r="B129" s="111"/>
      <c r="C129" s="111"/>
      <c r="D129" s="112"/>
      <c r="E129" s="112"/>
      <c r="F129" s="112"/>
      <c r="G129" s="117"/>
      <c r="H129" s="117"/>
      <c r="I129" s="117"/>
      <c r="J129" s="154"/>
      <c r="K129" s="154"/>
      <c r="L129" s="154"/>
    </row>
    <row r="130" spans="1:12" ht="25" customHeight="1" x14ac:dyDescent="0.35">
      <c r="A130" s="111"/>
      <c r="B130" s="111"/>
      <c r="C130" s="111"/>
      <c r="D130" s="112"/>
      <c r="E130" s="112"/>
      <c r="F130" s="112"/>
      <c r="G130" s="117"/>
      <c r="H130" s="117"/>
      <c r="I130" s="117"/>
      <c r="J130" s="154"/>
      <c r="K130" s="154"/>
      <c r="L130" s="154"/>
    </row>
    <row r="131" spans="1:12" ht="25" customHeight="1" x14ac:dyDescent="0.35">
      <c r="A131" s="111"/>
      <c r="B131" s="111"/>
      <c r="C131" s="111"/>
      <c r="D131" s="112"/>
      <c r="E131" s="112"/>
      <c r="F131" s="112"/>
      <c r="G131" s="117"/>
      <c r="H131" s="117"/>
      <c r="I131" s="117"/>
      <c r="J131" s="154"/>
      <c r="K131" s="154"/>
      <c r="L131" s="154"/>
    </row>
    <row r="132" spans="1:12" ht="25" customHeight="1" x14ac:dyDescent="0.35">
      <c r="A132" s="111"/>
      <c r="B132" s="111"/>
      <c r="C132" s="111"/>
      <c r="D132" s="112"/>
      <c r="E132" s="112"/>
      <c r="F132" s="112"/>
      <c r="G132" s="117"/>
      <c r="H132" s="117"/>
      <c r="I132" s="117"/>
      <c r="J132" s="154"/>
      <c r="K132" s="154"/>
      <c r="L132" s="154"/>
    </row>
    <row r="133" spans="1:12" ht="25" customHeight="1" x14ac:dyDescent="0.35">
      <c r="A133" s="111"/>
      <c r="B133" s="111"/>
      <c r="C133" s="111"/>
      <c r="D133" s="112"/>
      <c r="E133" s="112"/>
      <c r="F133" s="112"/>
      <c r="G133" s="117"/>
      <c r="H133" s="117"/>
      <c r="I133" s="117"/>
      <c r="J133" s="154"/>
      <c r="K133" s="154"/>
      <c r="L133" s="154"/>
    </row>
    <row r="134" spans="1:12" ht="25" customHeight="1" x14ac:dyDescent="0.35">
      <c r="A134" s="111"/>
      <c r="B134" s="111"/>
      <c r="C134" s="111"/>
      <c r="D134" s="112"/>
      <c r="E134" s="112"/>
      <c r="F134" s="112"/>
      <c r="G134" s="117"/>
      <c r="H134" s="117"/>
      <c r="I134" s="117"/>
      <c r="J134" s="154"/>
      <c r="K134" s="154"/>
      <c r="L134" s="154"/>
    </row>
    <row r="135" spans="1:12" ht="25" customHeight="1" x14ac:dyDescent="0.35">
      <c r="A135" s="111"/>
      <c r="B135" s="111"/>
      <c r="C135" s="111"/>
      <c r="D135" s="112"/>
      <c r="E135" s="112"/>
      <c r="F135" s="112"/>
      <c r="G135" s="117"/>
      <c r="H135" s="117"/>
      <c r="I135" s="117"/>
      <c r="J135" s="154"/>
      <c r="K135" s="154"/>
      <c r="L135" s="154"/>
    </row>
    <row r="136" spans="1:12" ht="25" customHeight="1" x14ac:dyDescent="0.35">
      <c r="A136" s="111"/>
      <c r="B136" s="111"/>
      <c r="C136" s="111"/>
      <c r="D136" s="112"/>
      <c r="E136" s="112"/>
      <c r="F136" s="112"/>
      <c r="G136" s="117"/>
      <c r="H136" s="117"/>
      <c r="I136" s="117"/>
      <c r="J136" s="154"/>
      <c r="K136" s="154"/>
      <c r="L136" s="154"/>
    </row>
    <row r="137" spans="1:12" ht="25" customHeight="1" x14ac:dyDescent="0.35">
      <c r="A137" s="111"/>
      <c r="B137" s="111"/>
      <c r="C137" s="111"/>
      <c r="D137" s="112"/>
      <c r="E137" s="112"/>
      <c r="F137" s="112"/>
      <c r="G137" s="117"/>
      <c r="H137" s="117"/>
      <c r="I137" s="117"/>
      <c r="J137" s="154"/>
      <c r="K137" s="154"/>
      <c r="L137" s="154"/>
    </row>
    <row r="138" spans="1:12" ht="25" customHeight="1" x14ac:dyDescent="0.35">
      <c r="A138" s="111"/>
      <c r="B138" s="111"/>
      <c r="C138" s="111"/>
      <c r="D138" s="112"/>
      <c r="E138" s="112"/>
      <c r="F138" s="112"/>
      <c r="G138" s="117"/>
      <c r="H138" s="117"/>
      <c r="I138" s="117"/>
      <c r="J138" s="154"/>
      <c r="K138" s="154"/>
      <c r="L138" s="154"/>
    </row>
    <row r="139" spans="1:12" ht="25" customHeight="1" x14ac:dyDescent="0.35">
      <c r="A139" s="111"/>
      <c r="B139" s="111"/>
      <c r="C139" s="111"/>
      <c r="D139" s="112"/>
      <c r="E139" s="112"/>
      <c r="F139" s="112"/>
      <c r="G139" s="117"/>
      <c r="H139" s="117"/>
      <c r="I139" s="117"/>
      <c r="J139" s="154"/>
      <c r="K139" s="154"/>
      <c r="L139" s="154"/>
    </row>
    <row r="140" spans="1:12" ht="25" customHeight="1" x14ac:dyDescent="0.35">
      <c r="A140" s="111"/>
      <c r="B140" s="111"/>
      <c r="C140" s="111"/>
      <c r="D140" s="112"/>
      <c r="E140" s="112"/>
      <c r="F140" s="112"/>
      <c r="G140" s="117"/>
      <c r="H140" s="117"/>
      <c r="I140" s="117"/>
      <c r="J140" s="154"/>
      <c r="K140" s="154"/>
      <c r="L140" s="154"/>
    </row>
    <row r="141" spans="1:12" ht="25" customHeight="1" x14ac:dyDescent="0.35">
      <c r="A141" s="111"/>
      <c r="B141" s="111"/>
      <c r="C141" s="111"/>
      <c r="D141" s="112"/>
      <c r="E141" s="112"/>
      <c r="F141" s="112"/>
      <c r="G141" s="117"/>
      <c r="H141" s="117"/>
      <c r="I141" s="117"/>
      <c r="J141" s="154"/>
      <c r="K141" s="154"/>
      <c r="L141" s="154"/>
    </row>
    <row r="142" spans="1:12" ht="25" customHeight="1" x14ac:dyDescent="0.35">
      <c r="A142" s="111"/>
      <c r="B142" s="111"/>
      <c r="C142" s="111"/>
      <c r="D142" s="112"/>
      <c r="E142" s="112"/>
      <c r="F142" s="112"/>
      <c r="G142" s="117"/>
      <c r="H142" s="117"/>
      <c r="I142" s="117"/>
      <c r="J142" s="154"/>
      <c r="K142" s="154"/>
      <c r="L142" s="154"/>
    </row>
    <row r="143" spans="1:12" ht="25" customHeight="1" x14ac:dyDescent="0.35">
      <c r="A143" s="111"/>
      <c r="B143" s="111"/>
      <c r="C143" s="111"/>
      <c r="D143" s="112"/>
      <c r="E143" s="112"/>
      <c r="F143" s="112"/>
      <c r="G143" s="117"/>
      <c r="H143" s="117"/>
      <c r="I143" s="117"/>
      <c r="J143" s="154"/>
      <c r="K143" s="154"/>
      <c r="L143" s="154"/>
    </row>
    <row r="144" spans="1:12" ht="25" customHeight="1" x14ac:dyDescent="0.35">
      <c r="A144" s="111"/>
      <c r="B144" s="111"/>
      <c r="C144" s="111"/>
      <c r="D144" s="112"/>
      <c r="E144" s="112"/>
      <c r="F144" s="112"/>
      <c r="G144" s="117"/>
      <c r="H144" s="117"/>
      <c r="I144" s="117"/>
      <c r="J144" s="154"/>
      <c r="K144" s="154"/>
      <c r="L144" s="154"/>
    </row>
    <row r="145" spans="1:12" ht="25" customHeight="1" x14ac:dyDescent="0.35">
      <c r="A145" s="111"/>
      <c r="B145" s="111"/>
      <c r="C145" s="111"/>
      <c r="D145" s="112"/>
      <c r="E145" s="112"/>
      <c r="F145" s="112"/>
      <c r="G145" s="117"/>
      <c r="H145" s="117"/>
      <c r="I145" s="117"/>
      <c r="J145" s="154"/>
      <c r="K145" s="154"/>
      <c r="L145" s="154"/>
    </row>
    <row r="146" spans="1:12" ht="25" customHeight="1" x14ac:dyDescent="0.35">
      <c r="A146" s="111"/>
      <c r="B146" s="111"/>
      <c r="C146" s="111"/>
      <c r="D146" s="112"/>
      <c r="E146" s="112"/>
      <c r="F146" s="112"/>
      <c r="G146" s="117"/>
      <c r="H146" s="117"/>
      <c r="I146" s="117"/>
      <c r="J146" s="154"/>
      <c r="K146" s="154"/>
      <c r="L146" s="154"/>
    </row>
    <row r="147" spans="1:12" ht="25" customHeight="1" x14ac:dyDescent="0.35">
      <c r="A147" s="111"/>
      <c r="B147" s="111"/>
      <c r="C147" s="111"/>
      <c r="D147" s="112"/>
      <c r="E147" s="112"/>
      <c r="F147" s="112"/>
      <c r="G147" s="117"/>
      <c r="H147" s="117"/>
      <c r="I147" s="117"/>
      <c r="J147" s="154"/>
      <c r="K147" s="154"/>
      <c r="L147" s="154"/>
    </row>
    <row r="148" spans="1:12" ht="25" customHeight="1" x14ac:dyDescent="0.35">
      <c r="A148" s="111"/>
      <c r="B148" s="111"/>
      <c r="C148" s="111"/>
      <c r="D148" s="112"/>
      <c r="E148" s="112"/>
      <c r="F148" s="112"/>
      <c r="G148" s="117"/>
      <c r="H148" s="117"/>
      <c r="I148" s="117"/>
      <c r="J148" s="154"/>
      <c r="K148" s="154"/>
      <c r="L148" s="154"/>
    </row>
    <row r="149" spans="1:12" ht="25" customHeight="1" x14ac:dyDescent="0.35">
      <c r="A149" s="111"/>
      <c r="B149" s="111"/>
      <c r="C149" s="111"/>
      <c r="D149" s="112"/>
      <c r="E149" s="112"/>
      <c r="F149" s="112"/>
      <c r="G149" s="117"/>
      <c r="H149" s="117"/>
      <c r="I149" s="117"/>
      <c r="J149" s="154"/>
      <c r="K149" s="154"/>
      <c r="L149" s="154"/>
    </row>
    <row r="150" spans="1:12" ht="25" customHeight="1" x14ac:dyDescent="0.35">
      <c r="A150" s="111"/>
      <c r="B150" s="111"/>
      <c r="C150" s="111"/>
      <c r="D150" s="112"/>
      <c r="E150" s="112"/>
      <c r="F150" s="112"/>
      <c r="G150" s="117"/>
      <c r="H150" s="117"/>
      <c r="I150" s="117"/>
      <c r="J150" s="154"/>
      <c r="K150" s="154"/>
      <c r="L150" s="154"/>
    </row>
    <row r="151" spans="1:12" ht="25" customHeight="1" x14ac:dyDescent="0.35">
      <c r="A151" s="111"/>
      <c r="B151" s="111"/>
      <c r="C151" s="111"/>
      <c r="D151" s="112"/>
      <c r="E151" s="112"/>
      <c r="F151" s="112"/>
      <c r="G151" s="117"/>
      <c r="H151" s="117"/>
      <c r="I151" s="117"/>
      <c r="J151" s="154"/>
      <c r="K151" s="154"/>
      <c r="L151" s="154"/>
    </row>
    <row r="152" spans="1:12" ht="25" customHeight="1" x14ac:dyDescent="0.35">
      <c r="A152" s="111"/>
      <c r="B152" s="111"/>
      <c r="C152" s="111"/>
      <c r="D152" s="112"/>
      <c r="E152" s="112"/>
      <c r="F152" s="112"/>
      <c r="G152" s="117"/>
      <c r="H152" s="117"/>
      <c r="I152" s="117"/>
      <c r="J152" s="154"/>
      <c r="K152" s="154"/>
      <c r="L152" s="154"/>
    </row>
    <row r="153" spans="1:12" ht="25" customHeight="1" x14ac:dyDescent="0.35">
      <c r="A153" s="111"/>
      <c r="B153" s="111"/>
      <c r="C153" s="111"/>
      <c r="D153" s="112"/>
      <c r="E153" s="112"/>
      <c r="F153" s="112"/>
      <c r="G153" s="117"/>
      <c r="H153" s="117"/>
      <c r="I153" s="117"/>
      <c r="J153" s="154"/>
      <c r="K153" s="154"/>
      <c r="L153" s="154"/>
    </row>
    <row r="154" spans="1:12" ht="25" customHeight="1" x14ac:dyDescent="0.35">
      <c r="A154" s="111"/>
      <c r="B154" s="111"/>
      <c r="C154" s="111"/>
      <c r="D154" s="112"/>
      <c r="E154" s="112"/>
      <c r="F154" s="112"/>
      <c r="G154" s="117"/>
      <c r="H154" s="117"/>
      <c r="I154" s="117"/>
      <c r="J154" s="154"/>
      <c r="K154" s="154"/>
      <c r="L154" s="154"/>
    </row>
    <row r="155" spans="1:12" ht="25" customHeight="1" x14ac:dyDescent="0.35">
      <c r="A155" s="111"/>
      <c r="B155" s="111"/>
      <c r="C155" s="111"/>
      <c r="D155" s="112"/>
      <c r="E155" s="112"/>
      <c r="F155" s="112"/>
      <c r="G155" s="117"/>
      <c r="H155" s="117"/>
      <c r="I155" s="117"/>
      <c r="J155" s="154"/>
      <c r="K155" s="154"/>
      <c r="L155" s="154"/>
    </row>
    <row r="156" spans="1:12" ht="25" customHeight="1" x14ac:dyDescent="0.35">
      <c r="A156" s="111"/>
      <c r="B156" s="111"/>
      <c r="C156" s="111"/>
      <c r="D156" s="112"/>
      <c r="E156" s="112"/>
      <c r="F156" s="112"/>
      <c r="G156" s="117"/>
      <c r="H156" s="117"/>
      <c r="I156" s="117"/>
      <c r="J156" s="154"/>
      <c r="K156" s="154"/>
      <c r="L156" s="154"/>
    </row>
    <row r="157" spans="1:12" ht="25" customHeight="1" x14ac:dyDescent="0.35">
      <c r="A157" s="111"/>
      <c r="B157" s="111"/>
      <c r="C157" s="111"/>
      <c r="D157" s="112"/>
      <c r="E157" s="112"/>
      <c r="F157" s="112"/>
      <c r="G157" s="117"/>
      <c r="H157" s="117"/>
      <c r="I157" s="117"/>
      <c r="J157" s="119"/>
      <c r="K157" s="119"/>
      <c r="L157" s="119"/>
    </row>
    <row r="158" spans="1:12" ht="25" customHeight="1" x14ac:dyDescent="0.35">
      <c r="A158" s="111"/>
      <c r="B158" s="111"/>
      <c r="C158" s="111"/>
      <c r="D158" s="112"/>
      <c r="E158" s="112"/>
      <c r="F158" s="112"/>
      <c r="G158" s="117"/>
      <c r="H158" s="117"/>
      <c r="I158" s="117"/>
      <c r="J158" s="119"/>
      <c r="K158" s="119"/>
      <c r="L158" s="119"/>
    </row>
    <row r="159" spans="1:12" ht="25" customHeight="1" x14ac:dyDescent="0.35">
      <c r="A159" s="111"/>
      <c r="B159" s="111"/>
      <c r="C159" s="111"/>
      <c r="D159" s="112"/>
      <c r="E159" s="112"/>
      <c r="F159" s="112"/>
      <c r="G159" s="117"/>
      <c r="H159" s="117"/>
      <c r="I159" s="117"/>
      <c r="J159" s="119"/>
      <c r="K159" s="119"/>
      <c r="L159" s="119"/>
    </row>
    <row r="160" spans="1:12" ht="25" customHeight="1" x14ac:dyDescent="0.35">
      <c r="A160" s="111"/>
      <c r="B160" s="111"/>
      <c r="C160" s="111"/>
      <c r="D160" s="112"/>
      <c r="E160" s="112"/>
      <c r="F160" s="112"/>
      <c r="G160" s="117"/>
      <c r="H160" s="117"/>
      <c r="I160" s="117"/>
      <c r="J160" s="119"/>
      <c r="K160" s="119"/>
      <c r="L160" s="119"/>
    </row>
    <row r="161" spans="1:12" ht="25" customHeight="1" x14ac:dyDescent="0.35">
      <c r="A161" s="111"/>
      <c r="B161" s="111"/>
      <c r="C161" s="111"/>
      <c r="D161" s="112"/>
      <c r="E161" s="112"/>
      <c r="F161" s="112"/>
      <c r="G161" s="117"/>
      <c r="H161" s="117"/>
      <c r="I161" s="117"/>
      <c r="J161" s="119"/>
      <c r="K161" s="119"/>
      <c r="L161" s="119"/>
    </row>
    <row r="162" spans="1:12" ht="25" customHeight="1" x14ac:dyDescent="0.35">
      <c r="A162" s="111"/>
      <c r="B162" s="111"/>
      <c r="C162" s="111"/>
      <c r="D162" s="112"/>
      <c r="E162" s="112"/>
      <c r="F162" s="112"/>
      <c r="G162" s="117"/>
      <c r="H162" s="117"/>
      <c r="I162" s="117"/>
      <c r="J162" s="119"/>
      <c r="K162" s="119"/>
      <c r="L162" s="119"/>
    </row>
    <row r="163" spans="1:12" ht="25" customHeight="1" x14ac:dyDescent="0.35">
      <c r="A163" s="111"/>
      <c r="B163" s="111"/>
      <c r="C163" s="111"/>
      <c r="D163" s="112"/>
      <c r="E163" s="112"/>
      <c r="F163" s="112"/>
      <c r="G163" s="117"/>
      <c r="H163" s="117"/>
      <c r="I163" s="117"/>
      <c r="J163" s="119"/>
      <c r="K163" s="119"/>
      <c r="L163" s="119"/>
    </row>
    <row r="164" spans="1:12" ht="25" customHeight="1" x14ac:dyDescent="0.35">
      <c r="A164" s="111"/>
      <c r="B164" s="111"/>
      <c r="C164" s="111"/>
      <c r="D164" s="112"/>
      <c r="E164" s="112"/>
      <c r="F164" s="112"/>
      <c r="G164" s="117"/>
      <c r="H164" s="117"/>
      <c r="I164" s="117"/>
      <c r="J164" s="119"/>
      <c r="K164" s="119"/>
      <c r="L164" s="119"/>
    </row>
    <row r="165" spans="1:12" ht="25" customHeight="1" x14ac:dyDescent="0.35">
      <c r="A165" s="111"/>
      <c r="B165" s="111"/>
      <c r="C165" s="111"/>
      <c r="D165" s="112"/>
      <c r="E165" s="112"/>
      <c r="F165" s="112"/>
      <c r="G165" s="117"/>
      <c r="H165" s="117"/>
      <c r="I165" s="117"/>
      <c r="J165" s="119"/>
      <c r="K165" s="119"/>
      <c r="L165" s="119"/>
    </row>
    <row r="166" spans="1:12" ht="25" customHeight="1" x14ac:dyDescent="0.35">
      <c r="A166" s="111"/>
      <c r="B166" s="111"/>
      <c r="C166" s="111"/>
      <c r="D166" s="112"/>
      <c r="E166" s="112"/>
      <c r="F166" s="112"/>
      <c r="G166" s="117"/>
      <c r="H166" s="117"/>
      <c r="I166" s="117"/>
      <c r="J166" s="119"/>
      <c r="K166" s="119"/>
      <c r="L166" s="119"/>
    </row>
    <row r="167" spans="1:12" ht="25" customHeight="1" x14ac:dyDescent="0.35">
      <c r="A167" s="111"/>
      <c r="B167" s="111"/>
      <c r="C167" s="111"/>
      <c r="D167" s="112"/>
      <c r="E167" s="112"/>
      <c r="F167" s="112"/>
      <c r="G167" s="117"/>
      <c r="H167" s="117"/>
      <c r="I167" s="117"/>
      <c r="J167" s="119"/>
      <c r="K167" s="119"/>
      <c r="L167" s="119"/>
    </row>
    <row r="168" spans="1:12" ht="25" customHeight="1" x14ac:dyDescent="0.35">
      <c r="A168" s="111"/>
      <c r="B168" s="111"/>
      <c r="C168" s="111"/>
      <c r="D168" s="112"/>
      <c r="E168" s="112"/>
      <c r="F168" s="112"/>
      <c r="G168" s="117"/>
      <c r="H168" s="117"/>
      <c r="I168" s="117"/>
      <c r="J168" s="119"/>
      <c r="K168" s="119"/>
      <c r="L168" s="119"/>
    </row>
    <row r="169" spans="1:12" ht="25" customHeight="1" x14ac:dyDescent="0.35">
      <c r="A169" s="111"/>
      <c r="B169" s="111"/>
      <c r="C169" s="111"/>
      <c r="D169" s="112"/>
      <c r="E169" s="112"/>
      <c r="F169" s="112"/>
      <c r="G169" s="117"/>
      <c r="H169" s="117"/>
      <c r="I169" s="117"/>
      <c r="J169" s="119"/>
      <c r="K169" s="119"/>
      <c r="L169" s="119"/>
    </row>
    <row r="170" spans="1:12" ht="25" customHeight="1" x14ac:dyDescent="0.35">
      <c r="A170" s="111"/>
      <c r="B170" s="111"/>
      <c r="C170" s="111"/>
      <c r="D170" s="112"/>
      <c r="E170" s="112"/>
      <c r="F170" s="112"/>
      <c r="G170" s="117"/>
      <c r="H170" s="117"/>
      <c r="I170" s="117"/>
      <c r="J170" s="119"/>
      <c r="K170" s="119"/>
      <c r="L170" s="119"/>
    </row>
    <row r="171" spans="1:12" ht="25" customHeight="1" x14ac:dyDescent="0.35">
      <c r="A171" s="111"/>
      <c r="B171" s="111"/>
      <c r="C171" s="111"/>
      <c r="D171" s="112"/>
      <c r="E171" s="112"/>
      <c r="F171" s="112"/>
      <c r="G171" s="117"/>
      <c r="H171" s="117"/>
      <c r="I171" s="117"/>
      <c r="J171" s="119"/>
      <c r="K171" s="119"/>
      <c r="L171" s="119"/>
    </row>
    <row r="172" spans="1:12" ht="25" customHeight="1" x14ac:dyDescent="0.35">
      <c r="A172" s="111"/>
      <c r="B172" s="111"/>
      <c r="C172" s="111"/>
      <c r="D172" s="112"/>
      <c r="E172" s="112"/>
      <c r="F172" s="112"/>
      <c r="G172" s="117"/>
      <c r="H172" s="117"/>
      <c r="I172" s="117"/>
      <c r="J172" s="119"/>
      <c r="K172" s="119"/>
      <c r="L172" s="119"/>
    </row>
    <row r="173" spans="1:12" ht="25" customHeight="1" x14ac:dyDescent="0.35">
      <c r="A173" s="111"/>
      <c r="B173" s="111"/>
      <c r="C173" s="111"/>
      <c r="D173" s="112"/>
      <c r="E173" s="112"/>
      <c r="F173" s="112"/>
      <c r="G173" s="117"/>
      <c r="H173" s="117"/>
      <c r="I173" s="117"/>
      <c r="J173" s="119"/>
      <c r="K173" s="119"/>
      <c r="L173" s="119"/>
    </row>
    <row r="174" spans="1:12" ht="25" customHeight="1" x14ac:dyDescent="0.35">
      <c r="A174" s="111"/>
      <c r="B174" s="111"/>
      <c r="C174" s="111"/>
      <c r="D174" s="112"/>
      <c r="E174" s="112"/>
      <c r="F174" s="112"/>
      <c r="G174" s="117"/>
      <c r="H174" s="117"/>
      <c r="I174" s="117"/>
      <c r="J174" s="119"/>
      <c r="K174" s="119"/>
      <c r="L174" s="119"/>
    </row>
    <row r="175" spans="1:12" ht="25" customHeight="1" x14ac:dyDescent="0.35">
      <c r="A175" s="111"/>
      <c r="B175" s="111"/>
      <c r="C175" s="111"/>
      <c r="D175" s="112"/>
      <c r="E175" s="112"/>
      <c r="F175" s="112"/>
      <c r="G175" s="117"/>
      <c r="H175" s="117"/>
      <c r="I175" s="117"/>
      <c r="J175" s="119"/>
      <c r="K175" s="119"/>
      <c r="L175" s="119"/>
    </row>
    <row r="176" spans="1:12" ht="25" customHeight="1" x14ac:dyDescent="0.35">
      <c r="A176" s="111"/>
      <c r="B176" s="111"/>
      <c r="C176" s="111"/>
      <c r="D176" s="112"/>
      <c r="E176" s="112"/>
      <c r="F176" s="112"/>
      <c r="G176" s="117"/>
      <c r="H176" s="117"/>
      <c r="I176" s="117"/>
      <c r="J176" s="119"/>
      <c r="K176" s="119"/>
      <c r="L176" s="119"/>
    </row>
    <row r="177" spans="1:12" ht="25" customHeight="1" x14ac:dyDescent="0.35">
      <c r="A177" s="111"/>
      <c r="B177" s="111"/>
      <c r="C177" s="111"/>
      <c r="D177" s="112"/>
      <c r="E177" s="112"/>
      <c r="F177" s="112"/>
      <c r="G177" s="117"/>
      <c r="H177" s="117"/>
      <c r="I177" s="117"/>
      <c r="J177" s="119"/>
      <c r="K177" s="119"/>
      <c r="L177" s="119"/>
    </row>
    <row r="178" spans="1:12" ht="25" customHeight="1" x14ac:dyDescent="0.35">
      <c r="A178" s="111"/>
      <c r="B178" s="111"/>
      <c r="C178" s="111"/>
      <c r="D178" s="112"/>
      <c r="E178" s="112"/>
      <c r="F178" s="112"/>
      <c r="G178" s="117"/>
      <c r="H178" s="117"/>
      <c r="I178" s="117"/>
      <c r="J178" s="119"/>
      <c r="K178" s="119"/>
      <c r="L178" s="119"/>
    </row>
    <row r="179" spans="1:12" ht="25" customHeight="1" x14ac:dyDescent="0.35">
      <c r="A179" s="111"/>
      <c r="B179" s="111"/>
      <c r="C179" s="111"/>
      <c r="D179" s="112"/>
      <c r="E179" s="112"/>
      <c r="F179" s="112"/>
      <c r="G179" s="117"/>
      <c r="H179" s="117"/>
      <c r="I179" s="117"/>
      <c r="J179" s="119"/>
      <c r="K179" s="119"/>
      <c r="L179" s="119"/>
    </row>
    <row r="180" spans="1:12" ht="25" customHeight="1" x14ac:dyDescent="0.35">
      <c r="A180" s="111"/>
      <c r="B180" s="111"/>
      <c r="C180" s="111"/>
      <c r="D180" s="112"/>
      <c r="E180" s="112"/>
      <c r="F180" s="112"/>
      <c r="G180" s="117"/>
      <c r="H180" s="117"/>
      <c r="I180" s="117"/>
      <c r="J180" s="119"/>
      <c r="K180" s="119"/>
      <c r="L180" s="119"/>
    </row>
    <row r="181" spans="1:12" ht="25" customHeight="1" x14ac:dyDescent="0.35">
      <c r="A181" s="111"/>
      <c r="B181" s="111"/>
      <c r="C181" s="111"/>
      <c r="D181" s="112"/>
      <c r="E181" s="112"/>
      <c r="F181" s="112"/>
      <c r="G181" s="117"/>
      <c r="H181" s="117"/>
      <c r="I181" s="117"/>
      <c r="J181" s="119"/>
      <c r="K181" s="119"/>
      <c r="L181" s="119"/>
    </row>
    <row r="182" spans="1:12" ht="25" customHeight="1" x14ac:dyDescent="0.35">
      <c r="A182" s="111"/>
      <c r="B182" s="111"/>
      <c r="C182" s="111"/>
      <c r="D182" s="112"/>
      <c r="E182" s="112"/>
      <c r="F182" s="112"/>
      <c r="G182" s="117"/>
      <c r="H182" s="117"/>
      <c r="I182" s="117"/>
      <c r="J182" s="119"/>
      <c r="K182" s="119"/>
      <c r="L182" s="119"/>
    </row>
    <row r="183" spans="1:12" ht="25" customHeight="1" x14ac:dyDescent="0.35">
      <c r="A183" s="111"/>
      <c r="B183" s="111"/>
      <c r="C183" s="111"/>
      <c r="D183" s="112"/>
      <c r="E183" s="112"/>
      <c r="F183" s="112"/>
      <c r="G183" s="117"/>
      <c r="H183" s="117"/>
      <c r="I183" s="117"/>
      <c r="J183" s="119"/>
      <c r="K183" s="119"/>
      <c r="L183" s="119"/>
    </row>
    <row r="184" spans="1:12" ht="25" customHeight="1" x14ac:dyDescent="0.35">
      <c r="A184" s="111"/>
      <c r="B184" s="111"/>
      <c r="C184" s="111"/>
      <c r="D184" s="112"/>
      <c r="E184" s="112"/>
      <c r="F184" s="112"/>
      <c r="G184" s="117"/>
      <c r="H184" s="117"/>
      <c r="I184" s="117"/>
      <c r="J184" s="119"/>
      <c r="K184" s="119"/>
      <c r="L184" s="119"/>
    </row>
    <row r="185" spans="1:12" ht="25" customHeight="1" x14ac:dyDescent="0.35">
      <c r="A185" s="111"/>
      <c r="B185" s="111"/>
      <c r="C185" s="111"/>
      <c r="D185" s="112"/>
      <c r="E185" s="112"/>
      <c r="F185" s="112"/>
      <c r="G185" s="117"/>
      <c r="H185" s="117"/>
      <c r="I185" s="117"/>
      <c r="J185" s="119"/>
      <c r="K185" s="119"/>
      <c r="L185" s="119"/>
    </row>
    <row r="186" spans="1:12" ht="25" customHeight="1" x14ac:dyDescent="0.35">
      <c r="A186" s="111"/>
      <c r="B186" s="111"/>
      <c r="C186" s="111"/>
      <c r="D186" s="112"/>
      <c r="E186" s="112"/>
      <c r="F186" s="112"/>
      <c r="G186" s="117"/>
      <c r="H186" s="117"/>
      <c r="I186" s="117"/>
      <c r="J186" s="119"/>
      <c r="K186" s="119"/>
      <c r="L186" s="119"/>
    </row>
    <row r="187" spans="1:12" ht="25" customHeight="1" x14ac:dyDescent="0.35">
      <c r="A187" s="111"/>
      <c r="B187" s="111"/>
      <c r="C187" s="111"/>
      <c r="D187" s="112"/>
      <c r="E187" s="112"/>
      <c r="F187" s="112"/>
      <c r="G187" s="117"/>
      <c r="H187" s="117"/>
      <c r="I187" s="117"/>
      <c r="J187" s="119"/>
      <c r="K187" s="119"/>
      <c r="L187" s="119"/>
    </row>
    <row r="188" spans="1:12" ht="25" customHeight="1" x14ac:dyDescent="0.35">
      <c r="A188" s="111"/>
      <c r="B188" s="111"/>
      <c r="C188" s="111"/>
      <c r="D188" s="112"/>
      <c r="E188" s="112"/>
      <c r="F188" s="112"/>
      <c r="G188" s="117"/>
      <c r="H188" s="117"/>
      <c r="I188" s="117"/>
      <c r="J188" s="119"/>
      <c r="K188" s="119"/>
      <c r="L188" s="119"/>
    </row>
    <row r="189" spans="1:12" ht="25" customHeight="1" x14ac:dyDescent="0.35">
      <c r="A189" s="111"/>
      <c r="B189" s="111"/>
      <c r="C189" s="111"/>
      <c r="D189" s="112"/>
      <c r="E189" s="112"/>
      <c r="F189" s="112"/>
      <c r="G189" s="117"/>
      <c r="H189" s="117"/>
      <c r="I189" s="117"/>
      <c r="J189" s="119"/>
      <c r="K189" s="119"/>
      <c r="L189" s="119"/>
    </row>
    <row r="190" spans="1:12" ht="25" customHeight="1" x14ac:dyDescent="0.35">
      <c r="A190" s="111"/>
      <c r="B190" s="111"/>
      <c r="C190" s="111"/>
      <c r="D190" s="112"/>
      <c r="E190" s="112"/>
      <c r="F190" s="112"/>
      <c r="G190" s="117"/>
      <c r="H190" s="117"/>
      <c r="I190" s="117"/>
      <c r="J190" s="119"/>
      <c r="K190" s="119"/>
      <c r="L190" s="119"/>
    </row>
    <row r="191" spans="1:12" ht="25" customHeight="1" x14ac:dyDescent="0.35">
      <c r="A191" s="111"/>
      <c r="B191" s="111"/>
      <c r="C191" s="111"/>
      <c r="D191" s="112"/>
      <c r="E191" s="112"/>
      <c r="F191" s="112"/>
      <c r="G191" s="117"/>
      <c r="H191" s="117"/>
      <c r="I191" s="117"/>
      <c r="J191" s="119"/>
      <c r="K191" s="119"/>
      <c r="L191" s="119"/>
    </row>
    <row r="192" spans="1:12" ht="25" customHeight="1" x14ac:dyDescent="0.35">
      <c r="A192" s="111"/>
      <c r="B192" s="111"/>
      <c r="C192" s="111"/>
      <c r="D192" s="112"/>
      <c r="E192" s="112"/>
      <c r="F192" s="112"/>
      <c r="G192" s="117"/>
      <c r="H192" s="117"/>
      <c r="I192" s="117"/>
      <c r="J192" s="119"/>
      <c r="K192" s="119"/>
      <c r="L192" s="119"/>
    </row>
    <row r="193" spans="1:12" ht="25" customHeight="1" x14ac:dyDescent="0.35">
      <c r="A193" s="111"/>
      <c r="B193" s="111"/>
      <c r="C193" s="111"/>
      <c r="D193" s="112"/>
      <c r="E193" s="112"/>
      <c r="F193" s="112"/>
      <c r="G193" s="117"/>
      <c r="H193" s="117"/>
      <c r="I193" s="117"/>
      <c r="J193" s="119"/>
      <c r="K193" s="119"/>
      <c r="L193" s="119"/>
    </row>
    <row r="194" spans="1:12" ht="25" customHeight="1" x14ac:dyDescent="0.35">
      <c r="A194" s="111"/>
      <c r="B194" s="111"/>
      <c r="C194" s="111"/>
      <c r="D194" s="112"/>
      <c r="E194" s="112"/>
      <c r="F194" s="112"/>
      <c r="G194" s="117"/>
      <c r="H194" s="117"/>
      <c r="I194" s="117"/>
      <c r="J194" s="119"/>
      <c r="K194" s="119"/>
      <c r="L194" s="119"/>
    </row>
    <row r="195" spans="1:12" ht="25" customHeight="1" x14ac:dyDescent="0.35">
      <c r="A195" s="111"/>
      <c r="B195" s="111"/>
      <c r="C195" s="111"/>
      <c r="D195" s="112"/>
      <c r="E195" s="112"/>
      <c r="F195" s="112"/>
      <c r="G195" s="117"/>
      <c r="H195" s="117"/>
      <c r="I195" s="117"/>
      <c r="J195" s="119"/>
      <c r="K195" s="119"/>
      <c r="L195" s="119"/>
    </row>
    <row r="196" spans="1:12" ht="25" customHeight="1" x14ac:dyDescent="0.35">
      <c r="A196" s="111"/>
      <c r="B196" s="111"/>
      <c r="C196" s="111"/>
      <c r="D196" s="112"/>
      <c r="E196" s="112"/>
      <c r="F196" s="112"/>
      <c r="G196" s="117"/>
      <c r="H196" s="117"/>
      <c r="I196" s="117"/>
      <c r="J196" s="119"/>
      <c r="K196" s="119"/>
      <c r="L196" s="119"/>
    </row>
    <row r="197" spans="1:12" ht="25" customHeight="1" x14ac:dyDescent="0.35">
      <c r="A197" s="111"/>
      <c r="B197" s="111"/>
      <c r="C197" s="111"/>
      <c r="D197" s="112"/>
      <c r="E197" s="112"/>
      <c r="F197" s="112"/>
      <c r="G197" s="117"/>
      <c r="H197" s="117"/>
      <c r="I197" s="117"/>
      <c r="J197" s="119"/>
      <c r="K197" s="119"/>
      <c r="L197" s="119"/>
    </row>
    <row r="198" spans="1:12" ht="25" customHeight="1" x14ac:dyDescent="0.35">
      <c r="A198" s="111"/>
      <c r="B198" s="111"/>
      <c r="C198" s="111"/>
      <c r="D198" s="112"/>
      <c r="E198" s="112"/>
      <c r="F198" s="112"/>
      <c r="G198" s="117"/>
      <c r="H198" s="117"/>
      <c r="I198" s="117"/>
      <c r="J198" s="119"/>
      <c r="K198" s="119"/>
      <c r="L198" s="119"/>
    </row>
    <row r="199" spans="1:12" ht="25" customHeight="1" x14ac:dyDescent="0.35">
      <c r="A199" s="111"/>
      <c r="B199" s="111"/>
      <c r="C199" s="111"/>
      <c r="D199" s="112"/>
      <c r="E199" s="112"/>
      <c r="F199" s="112"/>
      <c r="G199" s="117"/>
      <c r="H199" s="117"/>
      <c r="I199" s="117"/>
      <c r="J199" s="119"/>
      <c r="K199" s="119"/>
      <c r="L199" s="119"/>
    </row>
    <row r="200" spans="1:12" ht="25" customHeight="1" x14ac:dyDescent="0.35">
      <c r="A200" s="111"/>
      <c r="B200" s="111"/>
      <c r="C200" s="111"/>
      <c r="D200" s="112"/>
      <c r="E200" s="112"/>
      <c r="F200" s="112"/>
      <c r="G200" s="117"/>
      <c r="H200" s="117"/>
      <c r="I200" s="117"/>
      <c r="J200" s="119"/>
      <c r="K200" s="119"/>
      <c r="L200" s="119"/>
    </row>
  </sheetData>
  <mergeCells count="4">
    <mergeCell ref="A2:C2"/>
    <mergeCell ref="D2:F2"/>
    <mergeCell ref="G2:I2"/>
    <mergeCell ref="J2:K2"/>
  </mergeCells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200"/>
  <sheetViews>
    <sheetView topLeftCell="F9" workbookViewId="0">
      <selection activeCell="N20" sqref="N20"/>
    </sheetView>
  </sheetViews>
  <sheetFormatPr defaultColWidth="8.81640625" defaultRowHeight="14" x14ac:dyDescent="0.35"/>
  <cols>
    <col min="1" max="1" width="8.81640625" style="121"/>
    <col min="2" max="2" width="23.81640625" style="121" customWidth="1"/>
    <col min="3" max="8" width="18.6328125" style="121" customWidth="1"/>
    <col min="9" max="9" width="16.453125" style="121" customWidth="1"/>
    <col min="10" max="11" width="18.6328125" style="121" customWidth="1"/>
    <col min="12" max="12" width="20.453125" style="121" customWidth="1"/>
    <col min="13" max="13" width="18.6328125" style="121" customWidth="1"/>
    <col min="14" max="14" width="18.36328125" style="121" customWidth="1"/>
    <col min="15" max="16384" width="8.81640625" style="121"/>
  </cols>
  <sheetData>
    <row r="2" spans="1:19" ht="29" customHeight="1" thickBot="1" x14ac:dyDescent="0.4">
      <c r="A2" s="467" t="s">
        <v>111</v>
      </c>
      <c r="B2" s="518"/>
      <c r="C2" s="468"/>
      <c r="D2" s="527" t="s">
        <v>110</v>
      </c>
      <c r="E2" s="528"/>
      <c r="F2" s="529"/>
      <c r="G2" s="530" t="s">
        <v>109</v>
      </c>
      <c r="H2" s="531"/>
      <c r="I2" s="531"/>
      <c r="J2" s="521" t="s">
        <v>108</v>
      </c>
      <c r="K2" s="532"/>
      <c r="L2" s="157"/>
      <c r="M2" s="439">
        <v>30</v>
      </c>
      <c r="N2" s="440">
        <v>0.02</v>
      </c>
    </row>
    <row r="3" spans="1:19" s="173" customFormat="1" ht="85" thickTop="1" thickBot="1" x14ac:dyDescent="0.4">
      <c r="A3" s="149" t="s">
        <v>20</v>
      </c>
      <c r="B3" s="149" t="s">
        <v>212</v>
      </c>
      <c r="C3" s="149" t="s">
        <v>121</v>
      </c>
      <c r="D3" s="153" t="s">
        <v>11</v>
      </c>
      <c r="E3" s="153" t="s">
        <v>122</v>
      </c>
      <c r="F3" s="153" t="s">
        <v>211</v>
      </c>
      <c r="G3" s="170" t="s">
        <v>213</v>
      </c>
      <c r="H3" s="170" t="s">
        <v>214</v>
      </c>
      <c r="I3" s="170" t="s">
        <v>215</v>
      </c>
      <c r="J3" s="152" t="s">
        <v>216</v>
      </c>
      <c r="K3" s="152" t="s">
        <v>217</v>
      </c>
      <c r="L3" s="152" t="s">
        <v>156</v>
      </c>
      <c r="M3" s="173" t="s">
        <v>2703</v>
      </c>
      <c r="N3" s="173" t="s">
        <v>2694</v>
      </c>
      <c r="Q3" s="455" t="s">
        <v>2700</v>
      </c>
      <c r="R3" s="456" t="s">
        <v>2701</v>
      </c>
      <c r="S3" s="457">
        <v>2000</v>
      </c>
    </row>
    <row r="4" spans="1:19" ht="25" customHeight="1" thickTop="1" thickBot="1" x14ac:dyDescent="0.4">
      <c r="A4" s="111">
        <v>1</v>
      </c>
      <c r="B4" s="111" t="s">
        <v>2098</v>
      </c>
      <c r="C4" s="111" t="s">
        <v>2042</v>
      </c>
      <c r="D4" s="112">
        <v>2011</v>
      </c>
      <c r="E4" s="112" t="s">
        <v>92</v>
      </c>
      <c r="F4" s="112"/>
      <c r="G4" s="171" t="s">
        <v>2188</v>
      </c>
      <c r="H4" s="171">
        <v>6600</v>
      </c>
      <c r="I4" s="171" t="s">
        <v>2142</v>
      </c>
      <c r="J4" s="154">
        <v>5</v>
      </c>
      <c r="K4" s="154">
        <v>5</v>
      </c>
      <c r="L4" s="154">
        <v>5</v>
      </c>
      <c r="M4" s="446">
        <f>M$2*13000</f>
        <v>390000</v>
      </c>
      <c r="N4" s="446">
        <f>ROUND(N$2*M4,-2)</f>
        <v>7800</v>
      </c>
      <c r="Q4" s="455" t="s">
        <v>2702</v>
      </c>
      <c r="R4" s="456" t="s">
        <v>2701</v>
      </c>
      <c r="S4" s="457">
        <v>4000</v>
      </c>
    </row>
    <row r="5" spans="1:19" ht="25" customHeight="1" thickTop="1" x14ac:dyDescent="0.35">
      <c r="A5" s="111">
        <v>2</v>
      </c>
      <c r="B5" s="111" t="s">
        <v>2167</v>
      </c>
      <c r="C5" s="111" t="s">
        <v>855</v>
      </c>
      <c r="D5" s="112">
        <v>1995</v>
      </c>
      <c r="E5" s="112"/>
      <c r="F5" s="112"/>
      <c r="G5" s="171" t="s">
        <v>2171</v>
      </c>
      <c r="H5" s="171" t="s">
        <v>2168</v>
      </c>
      <c r="I5" s="171" t="s">
        <v>2169</v>
      </c>
      <c r="J5" s="154">
        <v>3</v>
      </c>
      <c r="K5" s="154">
        <v>3</v>
      </c>
      <c r="L5" s="154">
        <v>4</v>
      </c>
      <c r="M5" s="446">
        <f>M$2*10000</f>
        <v>300000</v>
      </c>
      <c r="N5" s="446">
        <f t="shared" ref="N5:N16" si="0">ROUND(N$2*M5,-2)</f>
        <v>6000</v>
      </c>
    </row>
    <row r="6" spans="1:19" ht="25" customHeight="1" x14ac:dyDescent="0.35">
      <c r="A6" s="111">
        <v>3</v>
      </c>
      <c r="B6" s="111" t="s">
        <v>2170</v>
      </c>
      <c r="C6" s="111" t="s">
        <v>383</v>
      </c>
      <c r="D6" s="112">
        <v>1986</v>
      </c>
      <c r="E6" s="112"/>
      <c r="F6" s="112"/>
      <c r="G6" s="171" t="s">
        <v>2171</v>
      </c>
      <c r="H6" s="171" t="s">
        <v>2169</v>
      </c>
      <c r="I6" s="171" t="s">
        <v>2168</v>
      </c>
      <c r="J6" s="154">
        <v>3</v>
      </c>
      <c r="K6" s="154">
        <v>3</v>
      </c>
      <c r="L6" s="154">
        <v>4</v>
      </c>
      <c r="M6" s="446">
        <f>M$2*10000</f>
        <v>300000</v>
      </c>
      <c r="N6" s="446">
        <f t="shared" si="0"/>
        <v>6000</v>
      </c>
    </row>
    <row r="7" spans="1:19" ht="25" customHeight="1" x14ac:dyDescent="0.35">
      <c r="A7" s="111">
        <v>4</v>
      </c>
      <c r="B7" s="111" t="s">
        <v>2172</v>
      </c>
      <c r="C7" s="111" t="s">
        <v>1694</v>
      </c>
      <c r="D7" s="112">
        <v>1986</v>
      </c>
      <c r="E7" s="112"/>
      <c r="F7" s="112"/>
      <c r="G7" s="171" t="s">
        <v>2173</v>
      </c>
      <c r="H7" s="171" t="s">
        <v>2168</v>
      </c>
      <c r="I7" s="171" t="s">
        <v>2169</v>
      </c>
      <c r="J7" s="154">
        <v>3</v>
      </c>
      <c r="K7" s="154">
        <v>3</v>
      </c>
      <c r="L7" s="154">
        <v>4</v>
      </c>
      <c r="M7" s="446">
        <f>M2*2*10000</f>
        <v>600000</v>
      </c>
      <c r="N7" s="446">
        <f t="shared" si="0"/>
        <v>12000</v>
      </c>
      <c r="R7" s="121">
        <f>4000*13000/300</f>
        <v>173333.33333333334</v>
      </c>
    </row>
    <row r="8" spans="1:19" ht="25" customHeight="1" x14ac:dyDescent="0.35">
      <c r="A8" s="111">
        <v>5</v>
      </c>
      <c r="B8" s="111" t="s">
        <v>2174</v>
      </c>
      <c r="C8" s="111" t="s">
        <v>1694</v>
      </c>
      <c r="D8" s="112">
        <v>1986</v>
      </c>
      <c r="E8" s="112">
        <v>2020</v>
      </c>
      <c r="F8" s="112" t="s">
        <v>2175</v>
      </c>
      <c r="G8" s="171" t="s">
        <v>2176</v>
      </c>
      <c r="H8" s="171" t="s">
        <v>2169</v>
      </c>
      <c r="I8" s="171" t="s">
        <v>2168</v>
      </c>
      <c r="J8" s="154">
        <v>5</v>
      </c>
      <c r="K8" s="154">
        <v>5</v>
      </c>
      <c r="L8" s="154">
        <v>5</v>
      </c>
      <c r="M8" s="446">
        <f>M2*1500</f>
        <v>45000</v>
      </c>
      <c r="N8" s="446">
        <f t="shared" si="0"/>
        <v>900</v>
      </c>
    </row>
    <row r="9" spans="1:19" ht="25" customHeight="1" x14ac:dyDescent="0.35">
      <c r="A9" s="111">
        <v>6</v>
      </c>
      <c r="B9" s="111" t="s">
        <v>2177</v>
      </c>
      <c r="C9" s="111" t="s">
        <v>1694</v>
      </c>
      <c r="D9" s="112">
        <v>1986</v>
      </c>
      <c r="E9" s="112"/>
      <c r="F9" s="112"/>
      <c r="G9" s="171" t="s">
        <v>2178</v>
      </c>
      <c r="H9" s="171" t="s">
        <v>2169</v>
      </c>
      <c r="I9" s="171" t="s">
        <v>2168</v>
      </c>
      <c r="J9" s="154">
        <v>3</v>
      </c>
      <c r="K9" s="154">
        <v>3</v>
      </c>
      <c r="L9" s="154">
        <v>4</v>
      </c>
      <c r="M9" s="446">
        <f>M$2*75*3</f>
        <v>6750</v>
      </c>
      <c r="N9" s="446">
        <f t="shared" si="0"/>
        <v>100</v>
      </c>
    </row>
    <row r="10" spans="1:19" ht="25" customHeight="1" x14ac:dyDescent="0.35">
      <c r="A10" s="111">
        <v>7</v>
      </c>
      <c r="B10" s="111" t="s">
        <v>2179</v>
      </c>
      <c r="C10" s="111" t="s">
        <v>436</v>
      </c>
      <c r="D10" s="112">
        <v>1986</v>
      </c>
      <c r="E10" s="112"/>
      <c r="F10" s="112"/>
      <c r="G10" s="171" t="s">
        <v>2178</v>
      </c>
      <c r="H10" s="171" t="s">
        <v>2169</v>
      </c>
      <c r="I10" s="171" t="s">
        <v>2168</v>
      </c>
      <c r="J10" s="154">
        <v>3</v>
      </c>
      <c r="K10" s="154">
        <v>3</v>
      </c>
      <c r="L10" s="154">
        <v>4</v>
      </c>
      <c r="M10" s="446">
        <f>M$2*75*3</f>
        <v>6750</v>
      </c>
      <c r="N10" s="446">
        <f t="shared" si="0"/>
        <v>100</v>
      </c>
    </row>
    <row r="11" spans="1:19" ht="25" customHeight="1" x14ac:dyDescent="0.35">
      <c r="A11" s="111">
        <v>8</v>
      </c>
      <c r="B11" s="111" t="s">
        <v>2180</v>
      </c>
      <c r="C11" s="111" t="s">
        <v>436</v>
      </c>
      <c r="D11" s="112">
        <v>1995</v>
      </c>
      <c r="E11" s="112">
        <v>2019</v>
      </c>
      <c r="F11" s="112" t="s">
        <v>2175</v>
      </c>
      <c r="G11" s="171" t="s">
        <v>2189</v>
      </c>
      <c r="H11" s="171" t="s">
        <v>2169</v>
      </c>
      <c r="I11" s="171" t="s">
        <v>2168</v>
      </c>
      <c r="J11" s="154">
        <v>5</v>
      </c>
      <c r="K11" s="154">
        <v>5</v>
      </c>
      <c r="L11" s="154">
        <v>5</v>
      </c>
      <c r="M11" s="446">
        <f>M$2*5000</f>
        <v>150000</v>
      </c>
      <c r="N11" s="446">
        <f t="shared" si="0"/>
        <v>3000</v>
      </c>
    </row>
    <row r="12" spans="1:19" ht="25" customHeight="1" x14ac:dyDescent="0.35">
      <c r="A12" s="111">
        <v>9</v>
      </c>
      <c r="B12" s="111" t="s">
        <v>2181</v>
      </c>
      <c r="C12" s="111" t="s">
        <v>436</v>
      </c>
      <c r="D12" s="112">
        <v>1995</v>
      </c>
      <c r="E12" s="112"/>
      <c r="F12" s="112"/>
      <c r="G12" s="171" t="s">
        <v>2178</v>
      </c>
      <c r="H12" s="171" t="s">
        <v>2169</v>
      </c>
      <c r="I12" s="171" t="s">
        <v>2168</v>
      </c>
      <c r="J12" s="154">
        <v>3</v>
      </c>
      <c r="K12" s="154">
        <v>3</v>
      </c>
      <c r="L12" s="154">
        <v>4</v>
      </c>
      <c r="M12" s="446">
        <f t="shared" ref="M12:M15" si="1">M$2*75*3</f>
        <v>6750</v>
      </c>
      <c r="N12" s="446">
        <f t="shared" si="0"/>
        <v>100</v>
      </c>
    </row>
    <row r="13" spans="1:19" ht="25" customHeight="1" x14ac:dyDescent="0.35">
      <c r="A13" s="111">
        <v>10</v>
      </c>
      <c r="B13" s="111" t="s">
        <v>2182</v>
      </c>
      <c r="C13" s="111" t="s">
        <v>336</v>
      </c>
      <c r="D13" s="112">
        <v>1996</v>
      </c>
      <c r="E13" s="112">
        <v>2020</v>
      </c>
      <c r="F13" s="112" t="s">
        <v>2175</v>
      </c>
      <c r="G13" s="171" t="s">
        <v>2178</v>
      </c>
      <c r="H13" s="171" t="s">
        <v>2169</v>
      </c>
      <c r="I13" s="171" t="s">
        <v>2168</v>
      </c>
      <c r="J13" s="154">
        <v>3</v>
      </c>
      <c r="K13" s="154">
        <v>3</v>
      </c>
      <c r="L13" s="154">
        <v>4</v>
      </c>
      <c r="M13" s="446">
        <f t="shared" si="1"/>
        <v>6750</v>
      </c>
      <c r="N13" s="446">
        <f t="shared" si="0"/>
        <v>100</v>
      </c>
    </row>
    <row r="14" spans="1:19" ht="25" customHeight="1" x14ac:dyDescent="0.35">
      <c r="A14" s="111">
        <v>11</v>
      </c>
      <c r="B14" s="111" t="s">
        <v>2183</v>
      </c>
      <c r="C14" s="111" t="s">
        <v>441</v>
      </c>
      <c r="D14" s="112">
        <v>1999</v>
      </c>
      <c r="E14" s="112">
        <v>2020</v>
      </c>
      <c r="F14" s="112" t="s">
        <v>2175</v>
      </c>
      <c r="G14" s="171" t="s">
        <v>2184</v>
      </c>
      <c r="H14" s="171" t="s">
        <v>2169</v>
      </c>
      <c r="I14" s="171" t="s">
        <v>2168</v>
      </c>
      <c r="J14" s="154">
        <v>3</v>
      </c>
      <c r="K14" s="154">
        <v>3</v>
      </c>
      <c r="L14" s="154">
        <v>4</v>
      </c>
      <c r="M14" s="446">
        <f>M$2*75</f>
        <v>2250</v>
      </c>
      <c r="N14" s="446">
        <f t="shared" si="0"/>
        <v>0</v>
      </c>
    </row>
    <row r="15" spans="1:19" ht="25" customHeight="1" x14ac:dyDescent="0.35">
      <c r="A15" s="111">
        <v>12</v>
      </c>
      <c r="B15" s="111" t="s">
        <v>2185</v>
      </c>
      <c r="C15" s="111" t="s">
        <v>1094</v>
      </c>
      <c r="D15" s="112">
        <v>1999</v>
      </c>
      <c r="E15" s="112"/>
      <c r="F15" s="112"/>
      <c r="G15" s="171" t="s">
        <v>2178</v>
      </c>
      <c r="H15" s="171" t="s">
        <v>2169</v>
      </c>
      <c r="I15" s="171" t="s">
        <v>2168</v>
      </c>
      <c r="J15" s="154">
        <v>3</v>
      </c>
      <c r="K15" s="154">
        <v>3</v>
      </c>
      <c r="L15" s="154">
        <v>4</v>
      </c>
      <c r="M15" s="446">
        <f t="shared" si="1"/>
        <v>6750</v>
      </c>
      <c r="N15" s="446">
        <f t="shared" si="0"/>
        <v>100</v>
      </c>
    </row>
    <row r="16" spans="1:19" ht="25" customHeight="1" x14ac:dyDescent="0.35">
      <c r="A16" s="111">
        <v>13</v>
      </c>
      <c r="B16" s="111" t="s">
        <v>2186</v>
      </c>
      <c r="C16" s="111" t="s">
        <v>1094</v>
      </c>
      <c r="D16" s="112">
        <v>1999</v>
      </c>
      <c r="E16" s="112"/>
      <c r="F16" s="112"/>
      <c r="G16" s="171" t="s">
        <v>2187</v>
      </c>
      <c r="H16" s="171" t="s">
        <v>2169</v>
      </c>
      <c r="I16" s="171" t="s">
        <v>2168</v>
      </c>
      <c r="J16" s="154">
        <v>3</v>
      </c>
      <c r="K16" s="154">
        <v>3</v>
      </c>
      <c r="L16" s="154">
        <v>4</v>
      </c>
      <c r="M16" s="446">
        <f>M$2*750</f>
        <v>22500</v>
      </c>
      <c r="N16" s="446">
        <f t="shared" si="0"/>
        <v>500</v>
      </c>
    </row>
    <row r="17" spans="1:14" ht="25" customHeight="1" x14ac:dyDescent="0.35">
      <c r="A17" s="111"/>
      <c r="B17" s="111"/>
      <c r="C17" s="111"/>
      <c r="D17" s="112"/>
      <c r="E17" s="112"/>
      <c r="F17" s="112"/>
      <c r="G17" s="171"/>
      <c r="H17" s="171"/>
      <c r="I17" s="171"/>
      <c r="J17" s="154"/>
      <c r="K17" s="154"/>
      <c r="L17" s="154"/>
    </row>
    <row r="18" spans="1:14" ht="25" customHeight="1" x14ac:dyDescent="0.35">
      <c r="A18" s="111"/>
      <c r="B18" s="111"/>
      <c r="C18" s="111"/>
      <c r="D18" s="112"/>
      <c r="E18" s="112"/>
      <c r="F18" s="112"/>
      <c r="G18" s="171"/>
      <c r="H18" s="171"/>
      <c r="I18" s="171"/>
      <c r="J18" s="154"/>
      <c r="K18" s="154"/>
      <c r="L18" s="154"/>
      <c r="M18" s="446">
        <f>SUM(M4:M16)</f>
        <v>1843500</v>
      </c>
      <c r="N18" s="446">
        <f>SUM(N4:N16)</f>
        <v>36700</v>
      </c>
    </row>
    <row r="19" spans="1:14" ht="25" customHeight="1" x14ac:dyDescent="0.35">
      <c r="A19" s="111"/>
      <c r="B19" s="111"/>
      <c r="C19" s="111"/>
      <c r="D19" s="112"/>
      <c r="E19" s="112"/>
      <c r="F19" s="112"/>
      <c r="G19" s="171"/>
      <c r="H19" s="171"/>
      <c r="I19" s="171"/>
      <c r="J19" s="154"/>
      <c r="K19" s="154"/>
      <c r="L19" s="154"/>
    </row>
    <row r="20" spans="1:14" ht="25" customHeight="1" x14ac:dyDescent="0.35">
      <c r="A20" s="111"/>
      <c r="B20" s="111"/>
      <c r="C20" s="111"/>
      <c r="D20" s="112"/>
      <c r="E20" s="112"/>
      <c r="F20" s="112"/>
      <c r="G20" s="171"/>
      <c r="H20" s="171"/>
      <c r="I20" s="171"/>
      <c r="J20" s="154"/>
      <c r="K20" s="154"/>
      <c r="L20" s="154"/>
    </row>
    <row r="21" spans="1:14" ht="25" customHeight="1" x14ac:dyDescent="0.35">
      <c r="A21" s="111"/>
      <c r="B21" s="111"/>
      <c r="C21" s="111"/>
      <c r="D21" s="112"/>
      <c r="E21" s="112"/>
      <c r="F21" s="112"/>
      <c r="G21" s="171"/>
      <c r="H21" s="171"/>
      <c r="I21" s="171"/>
      <c r="J21" s="154"/>
      <c r="K21" s="154"/>
      <c r="L21" s="154"/>
    </row>
    <row r="22" spans="1:14" ht="25" customHeight="1" x14ac:dyDescent="0.35">
      <c r="A22" s="111"/>
      <c r="B22" s="111"/>
      <c r="C22" s="111"/>
      <c r="D22" s="112"/>
      <c r="E22" s="112"/>
      <c r="F22" s="112"/>
      <c r="G22" s="171"/>
      <c r="H22" s="171"/>
      <c r="I22" s="171"/>
      <c r="J22" s="154"/>
      <c r="K22" s="154"/>
      <c r="L22" s="154"/>
    </row>
    <row r="23" spans="1:14" ht="25" customHeight="1" x14ac:dyDescent="0.35">
      <c r="A23" s="111"/>
      <c r="B23" s="111"/>
      <c r="C23" s="111"/>
      <c r="D23" s="112"/>
      <c r="E23" s="112"/>
      <c r="F23" s="112"/>
      <c r="G23" s="171"/>
      <c r="H23" s="171"/>
      <c r="I23" s="171"/>
      <c r="J23" s="154"/>
      <c r="K23" s="154"/>
      <c r="L23" s="154"/>
    </row>
    <row r="24" spans="1:14" ht="25" customHeight="1" x14ac:dyDescent="0.35">
      <c r="A24" s="111"/>
      <c r="B24" s="111"/>
      <c r="C24" s="111"/>
      <c r="D24" s="112"/>
      <c r="E24" s="112"/>
      <c r="F24" s="112"/>
      <c r="G24" s="171"/>
      <c r="H24" s="171"/>
      <c r="I24" s="171"/>
      <c r="J24" s="154"/>
      <c r="K24" s="154"/>
      <c r="L24" s="154"/>
    </row>
    <row r="25" spans="1:14" ht="25" customHeight="1" x14ac:dyDescent="0.35">
      <c r="A25" s="111"/>
      <c r="B25" s="111"/>
      <c r="C25" s="111"/>
      <c r="D25" s="112"/>
      <c r="E25" s="112"/>
      <c r="F25" s="112"/>
      <c r="G25" s="171"/>
      <c r="H25" s="171"/>
      <c r="I25" s="171"/>
      <c r="J25" s="154"/>
      <c r="K25" s="154"/>
      <c r="L25" s="154"/>
    </row>
    <row r="26" spans="1:14" ht="25" customHeight="1" x14ac:dyDescent="0.35">
      <c r="A26" s="111"/>
      <c r="B26" s="111"/>
      <c r="C26" s="111"/>
      <c r="D26" s="112"/>
      <c r="E26" s="112"/>
      <c r="F26" s="112"/>
      <c r="G26" s="171"/>
      <c r="H26" s="171"/>
      <c r="I26" s="171"/>
      <c r="J26" s="154"/>
      <c r="K26" s="154"/>
      <c r="L26" s="154"/>
    </row>
    <row r="27" spans="1:14" ht="25" customHeight="1" x14ac:dyDescent="0.35">
      <c r="A27" s="111"/>
      <c r="B27" s="111"/>
      <c r="C27" s="111"/>
      <c r="D27" s="112"/>
      <c r="E27" s="112"/>
      <c r="F27" s="112"/>
      <c r="G27" s="171"/>
      <c r="H27" s="171"/>
      <c r="I27" s="171"/>
      <c r="J27" s="154"/>
      <c r="K27" s="154"/>
      <c r="L27" s="154"/>
    </row>
    <row r="28" spans="1:14" ht="25" customHeight="1" x14ac:dyDescent="0.35">
      <c r="A28" s="111"/>
      <c r="B28" s="111"/>
      <c r="C28" s="111"/>
      <c r="D28" s="112"/>
      <c r="E28" s="112"/>
      <c r="F28" s="112"/>
      <c r="G28" s="171"/>
      <c r="H28" s="171"/>
      <c r="I28" s="171"/>
      <c r="J28" s="154"/>
      <c r="K28" s="154"/>
      <c r="L28" s="154"/>
    </row>
    <row r="29" spans="1:14" ht="25" customHeight="1" x14ac:dyDescent="0.35">
      <c r="A29" s="111"/>
      <c r="B29" s="111"/>
      <c r="C29" s="111"/>
      <c r="D29" s="112"/>
      <c r="E29" s="112"/>
      <c r="F29" s="112"/>
      <c r="G29" s="171"/>
      <c r="H29" s="171"/>
      <c r="I29" s="171"/>
      <c r="J29" s="154"/>
      <c r="K29" s="154"/>
      <c r="L29" s="154"/>
    </row>
    <row r="30" spans="1:14" ht="25" customHeight="1" x14ac:dyDescent="0.35">
      <c r="A30" s="111"/>
      <c r="B30" s="111"/>
      <c r="C30" s="111"/>
      <c r="D30" s="112"/>
      <c r="E30" s="112"/>
      <c r="F30" s="112"/>
      <c r="G30" s="171"/>
      <c r="H30" s="171"/>
      <c r="I30" s="171"/>
      <c r="J30" s="154"/>
      <c r="K30" s="154"/>
      <c r="L30" s="154"/>
    </row>
    <row r="31" spans="1:14" ht="25" customHeight="1" x14ac:dyDescent="0.35">
      <c r="A31" s="111"/>
      <c r="B31" s="111"/>
      <c r="C31" s="111"/>
      <c r="D31" s="112"/>
      <c r="E31" s="112"/>
      <c r="F31" s="112"/>
      <c r="G31" s="171"/>
      <c r="H31" s="171"/>
      <c r="I31" s="171"/>
      <c r="J31" s="154"/>
      <c r="K31" s="154"/>
      <c r="L31" s="154"/>
    </row>
    <row r="32" spans="1:14" ht="25" customHeight="1" x14ac:dyDescent="0.35">
      <c r="A32" s="111"/>
      <c r="B32" s="111"/>
      <c r="C32" s="111"/>
      <c r="D32" s="112"/>
      <c r="E32" s="112"/>
      <c r="F32" s="112"/>
      <c r="G32" s="171"/>
      <c r="H32" s="171"/>
      <c r="I32" s="171"/>
      <c r="J32" s="154"/>
      <c r="K32" s="154"/>
      <c r="L32" s="154"/>
    </row>
    <row r="33" spans="1:12" ht="25" customHeight="1" x14ac:dyDescent="0.35">
      <c r="A33" s="111"/>
      <c r="B33" s="111"/>
      <c r="C33" s="111"/>
      <c r="D33" s="112"/>
      <c r="E33" s="112"/>
      <c r="F33" s="112"/>
      <c r="G33" s="171"/>
      <c r="H33" s="171"/>
      <c r="I33" s="171"/>
      <c r="J33" s="154"/>
      <c r="K33" s="154"/>
      <c r="L33" s="154"/>
    </row>
    <row r="34" spans="1:12" ht="25" customHeight="1" x14ac:dyDescent="0.35">
      <c r="A34" s="111"/>
      <c r="B34" s="111"/>
      <c r="C34" s="111"/>
      <c r="D34" s="112"/>
      <c r="E34" s="112"/>
      <c r="F34" s="112"/>
      <c r="G34" s="171"/>
      <c r="H34" s="171"/>
      <c r="I34" s="171"/>
      <c r="J34" s="154"/>
      <c r="K34" s="154"/>
      <c r="L34" s="154"/>
    </row>
    <row r="35" spans="1:12" ht="25" customHeight="1" x14ac:dyDescent="0.35">
      <c r="A35" s="111"/>
      <c r="B35" s="111"/>
      <c r="C35" s="111"/>
      <c r="D35" s="112"/>
      <c r="E35" s="112"/>
      <c r="F35" s="112"/>
      <c r="G35" s="171"/>
      <c r="H35" s="171"/>
      <c r="I35" s="171"/>
      <c r="J35" s="154"/>
      <c r="K35" s="154"/>
      <c r="L35" s="154"/>
    </row>
    <row r="36" spans="1:12" ht="25" customHeight="1" x14ac:dyDescent="0.35">
      <c r="A36" s="111"/>
      <c r="B36" s="111"/>
      <c r="C36" s="111"/>
      <c r="D36" s="112"/>
      <c r="E36" s="112"/>
      <c r="F36" s="112"/>
      <c r="G36" s="171"/>
      <c r="H36" s="171"/>
      <c r="I36" s="171"/>
      <c r="J36" s="154"/>
      <c r="K36" s="154"/>
      <c r="L36" s="154"/>
    </row>
    <row r="37" spans="1:12" ht="25" customHeight="1" x14ac:dyDescent="0.35">
      <c r="A37" s="111"/>
      <c r="B37" s="111"/>
      <c r="C37" s="111"/>
      <c r="D37" s="112"/>
      <c r="E37" s="112"/>
      <c r="F37" s="112"/>
      <c r="G37" s="171"/>
      <c r="H37" s="171"/>
      <c r="I37" s="171"/>
      <c r="J37" s="154"/>
      <c r="K37" s="154"/>
      <c r="L37" s="154"/>
    </row>
    <row r="38" spans="1:12" ht="25" customHeight="1" x14ac:dyDescent="0.35">
      <c r="A38" s="111"/>
      <c r="B38" s="111"/>
      <c r="C38" s="111"/>
      <c r="D38" s="112"/>
      <c r="E38" s="112"/>
      <c r="F38" s="112"/>
      <c r="G38" s="171"/>
      <c r="H38" s="171"/>
      <c r="I38" s="171"/>
      <c r="J38" s="154"/>
      <c r="K38" s="154"/>
      <c r="L38" s="154"/>
    </row>
    <row r="39" spans="1:12" ht="25" customHeight="1" x14ac:dyDescent="0.35">
      <c r="A39" s="111"/>
      <c r="B39" s="111"/>
      <c r="C39" s="111"/>
      <c r="D39" s="112"/>
      <c r="E39" s="112"/>
      <c r="F39" s="112"/>
      <c r="G39" s="171"/>
      <c r="H39" s="171"/>
      <c r="I39" s="171"/>
      <c r="J39" s="154"/>
      <c r="K39" s="154"/>
      <c r="L39" s="154"/>
    </row>
    <row r="40" spans="1:12" ht="25" customHeight="1" x14ac:dyDescent="0.35">
      <c r="A40" s="111"/>
      <c r="B40" s="111"/>
      <c r="C40" s="111"/>
      <c r="D40" s="112"/>
      <c r="E40" s="112"/>
      <c r="F40" s="112"/>
      <c r="G40" s="171"/>
      <c r="H40" s="171"/>
      <c r="I40" s="171"/>
      <c r="J40" s="154"/>
      <c r="K40" s="154"/>
      <c r="L40" s="154"/>
    </row>
    <row r="41" spans="1:12" ht="25" customHeight="1" x14ac:dyDescent="0.35">
      <c r="A41" s="111"/>
      <c r="B41" s="111"/>
      <c r="C41" s="111"/>
      <c r="D41" s="112"/>
      <c r="E41" s="112"/>
      <c r="F41" s="112"/>
      <c r="G41" s="171"/>
      <c r="H41" s="171"/>
      <c r="I41" s="171"/>
      <c r="J41" s="154"/>
      <c r="K41" s="154"/>
      <c r="L41" s="154"/>
    </row>
    <row r="42" spans="1:12" ht="25" customHeight="1" x14ac:dyDescent="0.35">
      <c r="A42" s="111"/>
      <c r="B42" s="111"/>
      <c r="C42" s="111"/>
      <c r="D42" s="112"/>
      <c r="E42" s="112"/>
      <c r="F42" s="112"/>
      <c r="G42" s="171"/>
      <c r="H42" s="171"/>
      <c r="I42" s="171"/>
      <c r="J42" s="154"/>
      <c r="K42" s="154"/>
      <c r="L42" s="154"/>
    </row>
    <row r="43" spans="1:12" ht="25" customHeight="1" x14ac:dyDescent="0.35">
      <c r="A43" s="111"/>
      <c r="B43" s="111"/>
      <c r="C43" s="111"/>
      <c r="D43" s="112"/>
      <c r="E43" s="112"/>
      <c r="F43" s="112"/>
      <c r="G43" s="171"/>
      <c r="H43" s="171"/>
      <c r="I43" s="171"/>
      <c r="J43" s="154"/>
      <c r="K43" s="154"/>
      <c r="L43" s="154"/>
    </row>
    <row r="44" spans="1:12" ht="25" customHeight="1" x14ac:dyDescent="0.35">
      <c r="A44" s="111"/>
      <c r="B44" s="111"/>
      <c r="C44" s="111"/>
      <c r="D44" s="112"/>
      <c r="E44" s="112"/>
      <c r="F44" s="112"/>
      <c r="G44" s="171"/>
      <c r="H44" s="171"/>
      <c r="I44" s="171"/>
      <c r="J44" s="154"/>
      <c r="K44" s="154"/>
      <c r="L44" s="154"/>
    </row>
    <row r="45" spans="1:12" ht="25" customHeight="1" x14ac:dyDescent="0.35">
      <c r="A45" s="111"/>
      <c r="B45" s="111"/>
      <c r="C45" s="111"/>
      <c r="D45" s="112"/>
      <c r="E45" s="112"/>
      <c r="F45" s="112"/>
      <c r="G45" s="171"/>
      <c r="H45" s="171"/>
      <c r="I45" s="171"/>
      <c r="J45" s="154"/>
      <c r="K45" s="154"/>
      <c r="L45" s="154"/>
    </row>
    <row r="46" spans="1:12" ht="25" customHeight="1" x14ac:dyDescent="0.35">
      <c r="A46" s="111"/>
      <c r="B46" s="111"/>
      <c r="C46" s="111"/>
      <c r="D46" s="112"/>
      <c r="E46" s="112"/>
      <c r="F46" s="112"/>
      <c r="G46" s="171"/>
      <c r="H46" s="171"/>
      <c r="I46" s="171"/>
      <c r="J46" s="154"/>
      <c r="K46" s="154"/>
      <c r="L46" s="154"/>
    </row>
    <row r="47" spans="1:12" ht="25" customHeight="1" x14ac:dyDescent="0.35">
      <c r="A47" s="111"/>
      <c r="B47" s="111"/>
      <c r="C47" s="111"/>
      <c r="D47" s="112"/>
      <c r="E47" s="112"/>
      <c r="F47" s="112"/>
      <c r="G47" s="171"/>
      <c r="H47" s="171"/>
      <c r="I47" s="171"/>
      <c r="J47" s="154"/>
      <c r="K47" s="154"/>
      <c r="L47" s="154"/>
    </row>
    <row r="48" spans="1:12" ht="25" customHeight="1" x14ac:dyDescent="0.35">
      <c r="A48" s="111"/>
      <c r="B48" s="111"/>
      <c r="C48" s="111"/>
      <c r="D48" s="112"/>
      <c r="E48" s="112"/>
      <c r="F48" s="112"/>
      <c r="G48" s="171"/>
      <c r="H48" s="171"/>
      <c r="I48" s="171"/>
      <c r="J48" s="154"/>
      <c r="K48" s="154"/>
      <c r="L48" s="154"/>
    </row>
    <row r="49" spans="1:12" ht="25" customHeight="1" x14ac:dyDescent="0.35">
      <c r="A49" s="111"/>
      <c r="B49" s="111"/>
      <c r="C49" s="111"/>
      <c r="D49" s="112"/>
      <c r="E49" s="112"/>
      <c r="F49" s="112"/>
      <c r="G49" s="171"/>
      <c r="H49" s="171"/>
      <c r="I49" s="171"/>
      <c r="J49" s="154"/>
      <c r="K49" s="154"/>
      <c r="L49" s="154"/>
    </row>
    <row r="50" spans="1:12" ht="25" customHeight="1" x14ac:dyDescent="0.35">
      <c r="A50" s="111"/>
      <c r="B50" s="111"/>
      <c r="C50" s="111"/>
      <c r="D50" s="112"/>
      <c r="E50" s="112"/>
      <c r="F50" s="112"/>
      <c r="G50" s="171"/>
      <c r="H50" s="171"/>
      <c r="I50" s="171"/>
      <c r="J50" s="154"/>
      <c r="K50" s="154"/>
      <c r="L50" s="154"/>
    </row>
    <row r="51" spans="1:12" ht="25" customHeight="1" x14ac:dyDescent="0.35">
      <c r="A51" s="111"/>
      <c r="B51" s="111"/>
      <c r="C51" s="111"/>
      <c r="D51" s="112"/>
      <c r="E51" s="112"/>
      <c r="F51" s="112"/>
      <c r="G51" s="171"/>
      <c r="H51" s="171"/>
      <c r="I51" s="171"/>
      <c r="J51" s="154"/>
      <c r="K51" s="154"/>
      <c r="L51" s="154"/>
    </row>
    <row r="52" spans="1:12" ht="25" customHeight="1" x14ac:dyDescent="0.35">
      <c r="A52" s="111"/>
      <c r="B52" s="111"/>
      <c r="C52" s="111"/>
      <c r="D52" s="112"/>
      <c r="E52" s="112"/>
      <c r="F52" s="112"/>
      <c r="G52" s="171"/>
      <c r="H52" s="171"/>
      <c r="I52" s="171"/>
      <c r="J52" s="154"/>
      <c r="K52" s="154"/>
      <c r="L52" s="154"/>
    </row>
    <row r="53" spans="1:12" ht="25" customHeight="1" x14ac:dyDescent="0.35">
      <c r="A53" s="111"/>
      <c r="B53" s="111"/>
      <c r="C53" s="111"/>
      <c r="D53" s="112"/>
      <c r="E53" s="112"/>
      <c r="F53" s="112"/>
      <c r="G53" s="171"/>
      <c r="H53" s="171"/>
      <c r="I53" s="171"/>
      <c r="J53" s="154"/>
      <c r="K53" s="154"/>
      <c r="L53" s="154"/>
    </row>
    <row r="54" spans="1:12" ht="25" customHeight="1" x14ac:dyDescent="0.35">
      <c r="A54" s="111"/>
      <c r="B54" s="111"/>
      <c r="C54" s="111"/>
      <c r="D54" s="112"/>
      <c r="E54" s="112"/>
      <c r="F54" s="112"/>
      <c r="G54" s="171"/>
      <c r="H54" s="171"/>
      <c r="I54" s="171"/>
      <c r="J54" s="154"/>
      <c r="K54" s="154"/>
      <c r="L54" s="154"/>
    </row>
    <row r="55" spans="1:12" ht="25" customHeight="1" x14ac:dyDescent="0.35">
      <c r="A55" s="111"/>
      <c r="B55" s="111"/>
      <c r="C55" s="111"/>
      <c r="D55" s="112"/>
      <c r="E55" s="112"/>
      <c r="F55" s="112"/>
      <c r="G55" s="171"/>
      <c r="H55" s="171"/>
      <c r="I55" s="171"/>
      <c r="J55" s="154"/>
      <c r="K55" s="154"/>
      <c r="L55" s="154"/>
    </row>
    <row r="56" spans="1:12" ht="25" customHeight="1" x14ac:dyDescent="0.35">
      <c r="A56" s="111"/>
      <c r="B56" s="111"/>
      <c r="C56" s="111"/>
      <c r="D56" s="112"/>
      <c r="E56" s="112"/>
      <c r="F56" s="112"/>
      <c r="G56" s="171"/>
      <c r="H56" s="171"/>
      <c r="I56" s="171"/>
      <c r="J56" s="154"/>
      <c r="K56" s="154"/>
      <c r="L56" s="154"/>
    </row>
    <row r="57" spans="1:12" ht="25" customHeight="1" x14ac:dyDescent="0.35">
      <c r="A57" s="111"/>
      <c r="B57" s="111"/>
      <c r="C57" s="111"/>
      <c r="D57" s="112"/>
      <c r="E57" s="112"/>
      <c r="F57" s="112"/>
      <c r="G57" s="171"/>
      <c r="H57" s="171"/>
      <c r="I57" s="171"/>
      <c r="J57" s="154"/>
      <c r="K57" s="154"/>
      <c r="L57" s="154"/>
    </row>
    <row r="58" spans="1:12" ht="25" customHeight="1" x14ac:dyDescent="0.35">
      <c r="A58" s="111"/>
      <c r="B58" s="111"/>
      <c r="C58" s="111"/>
      <c r="D58" s="112"/>
      <c r="E58" s="112"/>
      <c r="F58" s="112"/>
      <c r="G58" s="171"/>
      <c r="H58" s="171"/>
      <c r="I58" s="171"/>
      <c r="J58" s="154"/>
      <c r="K58" s="154"/>
      <c r="L58" s="154"/>
    </row>
    <row r="59" spans="1:12" ht="25" customHeight="1" x14ac:dyDescent="0.35">
      <c r="A59" s="111"/>
      <c r="B59" s="111"/>
      <c r="C59" s="111"/>
      <c r="D59" s="112"/>
      <c r="E59" s="112"/>
      <c r="F59" s="112"/>
      <c r="G59" s="171"/>
      <c r="H59" s="171"/>
      <c r="I59" s="171"/>
      <c r="J59" s="154"/>
      <c r="K59" s="154"/>
      <c r="L59" s="154"/>
    </row>
    <row r="60" spans="1:12" ht="25" customHeight="1" x14ac:dyDescent="0.35">
      <c r="A60" s="111"/>
      <c r="B60" s="111"/>
      <c r="C60" s="111"/>
      <c r="D60" s="112"/>
      <c r="E60" s="112"/>
      <c r="F60" s="112"/>
      <c r="G60" s="171"/>
      <c r="H60" s="171"/>
      <c r="I60" s="171"/>
      <c r="J60" s="154"/>
      <c r="K60" s="154"/>
      <c r="L60" s="154"/>
    </row>
    <row r="61" spans="1:12" ht="25" customHeight="1" x14ac:dyDescent="0.35">
      <c r="A61" s="111"/>
      <c r="B61" s="111"/>
      <c r="C61" s="111"/>
      <c r="D61" s="112"/>
      <c r="E61" s="112"/>
      <c r="F61" s="112"/>
      <c r="G61" s="171"/>
      <c r="H61" s="171"/>
      <c r="I61" s="171"/>
      <c r="J61" s="154"/>
      <c r="K61" s="154"/>
      <c r="L61" s="154"/>
    </row>
    <row r="62" spans="1:12" ht="25" customHeight="1" x14ac:dyDescent="0.35">
      <c r="A62" s="111"/>
      <c r="B62" s="111"/>
      <c r="C62" s="111"/>
      <c r="D62" s="112"/>
      <c r="E62" s="112"/>
      <c r="F62" s="112"/>
      <c r="G62" s="171"/>
      <c r="H62" s="171"/>
      <c r="I62" s="171"/>
      <c r="J62" s="154"/>
      <c r="K62" s="154"/>
      <c r="L62" s="154"/>
    </row>
    <row r="63" spans="1:12" ht="25" customHeight="1" x14ac:dyDescent="0.35">
      <c r="A63" s="111"/>
      <c r="B63" s="111"/>
      <c r="C63" s="111"/>
      <c r="D63" s="112"/>
      <c r="E63" s="112"/>
      <c r="F63" s="112"/>
      <c r="G63" s="171"/>
      <c r="H63" s="171"/>
      <c r="I63" s="171"/>
      <c r="J63" s="154"/>
      <c r="K63" s="154"/>
      <c r="L63" s="154"/>
    </row>
    <row r="64" spans="1:12" ht="25" customHeight="1" x14ac:dyDescent="0.35">
      <c r="A64" s="111"/>
      <c r="B64" s="111"/>
      <c r="C64" s="111"/>
      <c r="D64" s="112"/>
      <c r="E64" s="112"/>
      <c r="F64" s="112"/>
      <c r="G64" s="171"/>
      <c r="H64" s="171"/>
      <c r="I64" s="171"/>
      <c r="J64" s="154"/>
      <c r="K64" s="154"/>
      <c r="L64" s="154"/>
    </row>
    <row r="65" spans="1:12" ht="25" customHeight="1" x14ac:dyDescent="0.35">
      <c r="A65" s="111"/>
      <c r="B65" s="111"/>
      <c r="C65" s="111"/>
      <c r="D65" s="112"/>
      <c r="E65" s="112"/>
      <c r="F65" s="112"/>
      <c r="G65" s="171"/>
      <c r="H65" s="171"/>
      <c r="I65" s="171"/>
      <c r="J65" s="154"/>
      <c r="K65" s="154"/>
      <c r="L65" s="154"/>
    </row>
    <row r="66" spans="1:12" ht="25" customHeight="1" x14ac:dyDescent="0.35">
      <c r="A66" s="111"/>
      <c r="B66" s="111"/>
      <c r="C66" s="111"/>
      <c r="D66" s="112"/>
      <c r="E66" s="112"/>
      <c r="F66" s="112"/>
      <c r="G66" s="171"/>
      <c r="H66" s="171"/>
      <c r="I66" s="171"/>
      <c r="J66" s="154"/>
      <c r="K66" s="154"/>
      <c r="L66" s="154"/>
    </row>
    <row r="67" spans="1:12" ht="25" customHeight="1" x14ac:dyDescent="0.35">
      <c r="A67" s="111"/>
      <c r="B67" s="111"/>
      <c r="C67" s="111"/>
      <c r="D67" s="112"/>
      <c r="E67" s="112"/>
      <c r="F67" s="112"/>
      <c r="G67" s="171"/>
      <c r="H67" s="171"/>
      <c r="I67" s="171"/>
      <c r="J67" s="154"/>
      <c r="K67" s="154"/>
      <c r="L67" s="154"/>
    </row>
    <row r="68" spans="1:12" ht="25" customHeight="1" x14ac:dyDescent="0.35">
      <c r="A68" s="111"/>
      <c r="B68" s="111"/>
      <c r="C68" s="111"/>
      <c r="D68" s="112"/>
      <c r="E68" s="112"/>
      <c r="F68" s="112"/>
      <c r="G68" s="171"/>
      <c r="H68" s="171"/>
      <c r="I68" s="171"/>
      <c r="J68" s="154"/>
      <c r="K68" s="154"/>
      <c r="L68" s="154"/>
    </row>
    <row r="69" spans="1:12" ht="25" customHeight="1" x14ac:dyDescent="0.35">
      <c r="A69" s="111"/>
      <c r="B69" s="111"/>
      <c r="C69" s="111"/>
      <c r="D69" s="112"/>
      <c r="E69" s="112"/>
      <c r="F69" s="112"/>
      <c r="G69" s="171"/>
      <c r="H69" s="171"/>
      <c r="I69" s="171"/>
      <c r="J69" s="154"/>
      <c r="K69" s="154"/>
      <c r="L69" s="154"/>
    </row>
    <row r="70" spans="1:12" ht="25" customHeight="1" x14ac:dyDescent="0.35">
      <c r="A70" s="111"/>
      <c r="B70" s="111"/>
      <c r="C70" s="111"/>
      <c r="D70" s="112"/>
      <c r="E70" s="112"/>
      <c r="F70" s="112"/>
      <c r="G70" s="171"/>
      <c r="H70" s="171"/>
      <c r="I70" s="171"/>
      <c r="J70" s="154"/>
      <c r="K70" s="154"/>
      <c r="L70" s="154"/>
    </row>
    <row r="71" spans="1:12" ht="25" customHeight="1" x14ac:dyDescent="0.35">
      <c r="A71" s="111"/>
      <c r="B71" s="111"/>
      <c r="C71" s="111"/>
      <c r="D71" s="112"/>
      <c r="E71" s="112"/>
      <c r="F71" s="112"/>
      <c r="G71" s="171"/>
      <c r="H71" s="171"/>
      <c r="I71" s="171"/>
      <c r="J71" s="154"/>
      <c r="K71" s="154"/>
      <c r="L71" s="154"/>
    </row>
    <row r="72" spans="1:12" ht="25" customHeight="1" x14ac:dyDescent="0.35">
      <c r="A72" s="111"/>
      <c r="B72" s="111"/>
      <c r="C72" s="111"/>
      <c r="D72" s="112"/>
      <c r="E72" s="112"/>
      <c r="F72" s="112"/>
      <c r="G72" s="171"/>
      <c r="H72" s="171"/>
      <c r="I72" s="171"/>
      <c r="J72" s="154"/>
      <c r="K72" s="154"/>
      <c r="L72" s="154"/>
    </row>
    <row r="73" spans="1:12" ht="25" customHeight="1" x14ac:dyDescent="0.35">
      <c r="A73" s="111"/>
      <c r="B73" s="111"/>
      <c r="C73" s="111"/>
      <c r="D73" s="112"/>
      <c r="E73" s="112"/>
      <c r="F73" s="112"/>
      <c r="G73" s="171"/>
      <c r="H73" s="171"/>
      <c r="I73" s="171"/>
      <c r="J73" s="154"/>
      <c r="K73" s="154"/>
      <c r="L73" s="154"/>
    </row>
    <row r="74" spans="1:12" ht="25" customHeight="1" x14ac:dyDescent="0.35">
      <c r="A74" s="111"/>
      <c r="B74" s="111"/>
      <c r="C74" s="111"/>
      <c r="D74" s="112"/>
      <c r="E74" s="112"/>
      <c r="F74" s="112"/>
      <c r="G74" s="171"/>
      <c r="H74" s="171"/>
      <c r="I74" s="171"/>
      <c r="J74" s="154"/>
      <c r="K74" s="154"/>
      <c r="L74" s="154"/>
    </row>
    <row r="75" spans="1:12" ht="25" customHeight="1" x14ac:dyDescent="0.35">
      <c r="A75" s="111"/>
      <c r="B75" s="111"/>
      <c r="C75" s="111"/>
      <c r="D75" s="112"/>
      <c r="E75" s="112"/>
      <c r="F75" s="112"/>
      <c r="G75" s="171"/>
      <c r="H75" s="171"/>
      <c r="I75" s="171"/>
      <c r="J75" s="154"/>
      <c r="K75" s="154"/>
      <c r="L75" s="154"/>
    </row>
    <row r="76" spans="1:12" ht="25" customHeight="1" x14ac:dyDescent="0.35">
      <c r="A76" s="111"/>
      <c r="B76" s="111"/>
      <c r="C76" s="111"/>
      <c r="D76" s="112"/>
      <c r="E76" s="112"/>
      <c r="F76" s="112"/>
      <c r="G76" s="171"/>
      <c r="H76" s="171"/>
      <c r="I76" s="171"/>
      <c r="J76" s="154"/>
      <c r="K76" s="154"/>
      <c r="L76" s="154"/>
    </row>
    <row r="77" spans="1:12" ht="25" customHeight="1" x14ac:dyDescent="0.35">
      <c r="A77" s="111"/>
      <c r="B77" s="111"/>
      <c r="C77" s="111"/>
      <c r="D77" s="112"/>
      <c r="E77" s="112"/>
      <c r="F77" s="112"/>
      <c r="G77" s="171"/>
      <c r="H77" s="171"/>
      <c r="I77" s="171"/>
      <c r="J77" s="154"/>
      <c r="K77" s="154"/>
      <c r="L77" s="154"/>
    </row>
    <row r="78" spans="1:12" ht="25" customHeight="1" x14ac:dyDescent="0.35">
      <c r="A78" s="111"/>
      <c r="B78" s="111"/>
      <c r="C78" s="111"/>
      <c r="D78" s="112"/>
      <c r="E78" s="112"/>
      <c r="F78" s="112"/>
      <c r="G78" s="171"/>
      <c r="H78" s="171"/>
      <c r="I78" s="171"/>
      <c r="J78" s="154"/>
      <c r="K78" s="154"/>
      <c r="L78" s="154"/>
    </row>
    <row r="79" spans="1:12" ht="25" customHeight="1" x14ac:dyDescent="0.35">
      <c r="A79" s="111"/>
      <c r="B79" s="111"/>
      <c r="C79" s="111"/>
      <c r="D79" s="112"/>
      <c r="E79" s="112"/>
      <c r="F79" s="112"/>
      <c r="G79" s="171"/>
      <c r="H79" s="171"/>
      <c r="I79" s="171"/>
      <c r="J79" s="154"/>
      <c r="K79" s="154"/>
      <c r="L79" s="154"/>
    </row>
    <row r="80" spans="1:12" ht="25" customHeight="1" x14ac:dyDescent="0.35">
      <c r="A80" s="111"/>
      <c r="B80" s="111"/>
      <c r="C80" s="111"/>
      <c r="D80" s="112"/>
      <c r="E80" s="112"/>
      <c r="F80" s="112"/>
      <c r="G80" s="171"/>
      <c r="H80" s="171"/>
      <c r="I80" s="171"/>
      <c r="J80" s="154"/>
      <c r="K80" s="154"/>
      <c r="L80" s="154"/>
    </row>
    <row r="81" spans="1:12" ht="25" customHeight="1" x14ac:dyDescent="0.35">
      <c r="A81" s="111"/>
      <c r="B81" s="111"/>
      <c r="C81" s="111"/>
      <c r="D81" s="112"/>
      <c r="E81" s="112"/>
      <c r="F81" s="112"/>
      <c r="G81" s="171"/>
      <c r="H81" s="171"/>
      <c r="I81" s="171"/>
      <c r="J81" s="154"/>
      <c r="K81" s="154"/>
      <c r="L81" s="154"/>
    </row>
    <row r="82" spans="1:12" ht="25" customHeight="1" x14ac:dyDescent="0.35">
      <c r="A82" s="111"/>
      <c r="B82" s="111"/>
      <c r="C82" s="111"/>
      <c r="D82" s="112"/>
      <c r="E82" s="112"/>
      <c r="F82" s="112"/>
      <c r="G82" s="171"/>
      <c r="H82" s="171"/>
      <c r="I82" s="171"/>
      <c r="J82" s="154"/>
      <c r="K82" s="154"/>
      <c r="L82" s="154"/>
    </row>
    <row r="83" spans="1:12" ht="25" customHeight="1" x14ac:dyDescent="0.35">
      <c r="A83" s="111"/>
      <c r="B83" s="111"/>
      <c r="C83" s="111"/>
      <c r="D83" s="112"/>
      <c r="E83" s="112"/>
      <c r="F83" s="112"/>
      <c r="G83" s="171"/>
      <c r="H83" s="171"/>
      <c r="I83" s="171"/>
      <c r="J83" s="154"/>
      <c r="K83" s="154"/>
      <c r="L83" s="154"/>
    </row>
    <row r="84" spans="1:12" ht="25" customHeight="1" x14ac:dyDescent="0.35">
      <c r="A84" s="111"/>
      <c r="B84" s="111"/>
      <c r="C84" s="111"/>
      <c r="D84" s="112"/>
      <c r="E84" s="112"/>
      <c r="F84" s="112"/>
      <c r="G84" s="171"/>
      <c r="H84" s="171"/>
      <c r="I84" s="171"/>
      <c r="J84" s="154"/>
      <c r="K84" s="154"/>
      <c r="L84" s="154"/>
    </row>
    <row r="85" spans="1:12" ht="25" customHeight="1" x14ac:dyDescent="0.35">
      <c r="A85" s="111"/>
      <c r="B85" s="111"/>
      <c r="C85" s="111"/>
      <c r="D85" s="112"/>
      <c r="E85" s="112"/>
      <c r="F85" s="112"/>
      <c r="G85" s="171"/>
      <c r="H85" s="171"/>
      <c r="I85" s="171"/>
      <c r="J85" s="154"/>
      <c r="K85" s="154"/>
      <c r="L85" s="154"/>
    </row>
    <row r="86" spans="1:12" ht="25" customHeight="1" x14ac:dyDescent="0.35">
      <c r="A86" s="111"/>
      <c r="B86" s="111"/>
      <c r="C86" s="111"/>
      <c r="D86" s="112"/>
      <c r="E86" s="112"/>
      <c r="F86" s="112"/>
      <c r="G86" s="171"/>
      <c r="H86" s="171"/>
      <c r="I86" s="171"/>
      <c r="J86" s="154"/>
      <c r="K86" s="154"/>
      <c r="L86" s="154"/>
    </row>
    <row r="87" spans="1:12" ht="25" customHeight="1" x14ac:dyDescent="0.35">
      <c r="A87" s="111"/>
      <c r="B87" s="111"/>
      <c r="C87" s="111"/>
      <c r="D87" s="112"/>
      <c r="E87" s="112"/>
      <c r="F87" s="112"/>
      <c r="G87" s="171"/>
      <c r="H87" s="171"/>
      <c r="I87" s="171"/>
      <c r="J87" s="154"/>
      <c r="K87" s="154"/>
      <c r="L87" s="154"/>
    </row>
    <row r="88" spans="1:12" ht="25" customHeight="1" x14ac:dyDescent="0.35">
      <c r="A88" s="111"/>
      <c r="B88" s="111"/>
      <c r="C88" s="111"/>
      <c r="D88" s="112"/>
      <c r="E88" s="112"/>
      <c r="F88" s="112"/>
      <c r="G88" s="171"/>
      <c r="H88" s="171"/>
      <c r="I88" s="171"/>
      <c r="J88" s="154"/>
      <c r="K88" s="154"/>
      <c r="L88" s="154"/>
    </row>
    <row r="89" spans="1:12" ht="25" customHeight="1" x14ac:dyDescent="0.35">
      <c r="A89" s="111"/>
      <c r="B89" s="111"/>
      <c r="C89" s="111"/>
      <c r="D89" s="112"/>
      <c r="E89" s="112"/>
      <c r="F89" s="112"/>
      <c r="G89" s="171"/>
      <c r="H89" s="171"/>
      <c r="I89" s="171"/>
      <c r="J89" s="154"/>
      <c r="K89" s="154"/>
      <c r="L89" s="154"/>
    </row>
    <row r="90" spans="1:12" ht="25" customHeight="1" x14ac:dyDescent="0.35">
      <c r="A90" s="111"/>
      <c r="B90" s="111"/>
      <c r="C90" s="111"/>
      <c r="D90" s="112"/>
      <c r="E90" s="112"/>
      <c r="F90" s="112"/>
      <c r="G90" s="171"/>
      <c r="H90" s="171"/>
      <c r="I90" s="171"/>
      <c r="J90" s="154"/>
      <c r="K90" s="154"/>
      <c r="L90" s="154"/>
    </row>
    <row r="91" spans="1:12" ht="25" customHeight="1" x14ac:dyDescent="0.35">
      <c r="A91" s="111"/>
      <c r="B91" s="111"/>
      <c r="C91" s="111"/>
      <c r="D91" s="112"/>
      <c r="E91" s="112"/>
      <c r="F91" s="112"/>
      <c r="G91" s="171"/>
      <c r="H91" s="171"/>
      <c r="I91" s="171"/>
      <c r="J91" s="154"/>
      <c r="K91" s="154"/>
      <c r="L91" s="154"/>
    </row>
    <row r="92" spans="1:12" ht="25" customHeight="1" x14ac:dyDescent="0.35">
      <c r="A92" s="111"/>
      <c r="B92" s="111"/>
      <c r="C92" s="111"/>
      <c r="D92" s="112"/>
      <c r="E92" s="112"/>
      <c r="F92" s="112"/>
      <c r="G92" s="171"/>
      <c r="H92" s="171"/>
      <c r="I92" s="171"/>
      <c r="J92" s="154"/>
      <c r="K92" s="154"/>
      <c r="L92" s="154"/>
    </row>
    <row r="93" spans="1:12" ht="25" customHeight="1" x14ac:dyDescent="0.35">
      <c r="A93" s="111"/>
      <c r="B93" s="111"/>
      <c r="C93" s="111"/>
      <c r="D93" s="112"/>
      <c r="E93" s="112"/>
      <c r="F93" s="112"/>
      <c r="G93" s="171"/>
      <c r="H93" s="171"/>
      <c r="I93" s="171"/>
      <c r="J93" s="154"/>
      <c r="K93" s="154"/>
      <c r="L93" s="154"/>
    </row>
    <row r="94" spans="1:12" ht="25" customHeight="1" x14ac:dyDescent="0.35">
      <c r="A94" s="111"/>
      <c r="B94" s="111"/>
      <c r="C94" s="111"/>
      <c r="D94" s="112"/>
      <c r="E94" s="112"/>
      <c r="F94" s="112"/>
      <c r="G94" s="171"/>
      <c r="H94" s="171"/>
      <c r="I94" s="171"/>
      <c r="J94" s="154"/>
      <c r="K94" s="154"/>
      <c r="L94" s="154"/>
    </row>
    <row r="95" spans="1:12" ht="25" customHeight="1" x14ac:dyDescent="0.35">
      <c r="A95" s="111"/>
      <c r="B95" s="111"/>
      <c r="C95" s="111"/>
      <c r="D95" s="112"/>
      <c r="E95" s="112"/>
      <c r="F95" s="112"/>
      <c r="G95" s="171"/>
      <c r="H95" s="171"/>
      <c r="I95" s="171"/>
      <c r="J95" s="119"/>
      <c r="K95" s="119"/>
      <c r="L95" s="119"/>
    </row>
    <row r="96" spans="1:12" ht="25" customHeight="1" x14ac:dyDescent="0.35">
      <c r="A96" s="111"/>
      <c r="B96" s="111"/>
      <c r="C96" s="111"/>
      <c r="D96" s="112"/>
      <c r="E96" s="112"/>
      <c r="F96" s="112"/>
      <c r="G96" s="171"/>
      <c r="H96" s="171"/>
      <c r="I96" s="171"/>
      <c r="J96" s="119"/>
      <c r="K96" s="119"/>
      <c r="L96" s="119"/>
    </row>
    <row r="97" spans="1:12" ht="25" customHeight="1" x14ac:dyDescent="0.35">
      <c r="A97" s="111"/>
      <c r="B97" s="111"/>
      <c r="C97" s="111"/>
      <c r="D97" s="112"/>
      <c r="E97" s="112"/>
      <c r="F97" s="112"/>
      <c r="G97" s="171"/>
      <c r="H97" s="171"/>
      <c r="I97" s="171"/>
      <c r="J97" s="119"/>
      <c r="K97" s="119"/>
      <c r="L97" s="119"/>
    </row>
    <row r="98" spans="1:12" ht="25" customHeight="1" x14ac:dyDescent="0.35">
      <c r="A98" s="111"/>
      <c r="B98" s="111"/>
      <c r="C98" s="111"/>
      <c r="D98" s="112"/>
      <c r="E98" s="112"/>
      <c r="F98" s="112"/>
      <c r="G98" s="171"/>
      <c r="H98" s="171"/>
      <c r="I98" s="171"/>
      <c r="J98" s="119"/>
      <c r="K98" s="119"/>
      <c r="L98" s="119"/>
    </row>
    <row r="99" spans="1:12" ht="25" customHeight="1" x14ac:dyDescent="0.35">
      <c r="A99" s="111"/>
      <c r="B99" s="111"/>
      <c r="C99" s="111"/>
      <c r="D99" s="112"/>
      <c r="E99" s="112"/>
      <c r="F99" s="112"/>
      <c r="G99" s="171"/>
      <c r="H99" s="171"/>
      <c r="I99" s="171"/>
      <c r="J99" s="119"/>
      <c r="K99" s="119"/>
      <c r="L99" s="119"/>
    </row>
    <row r="100" spans="1:12" ht="25" customHeight="1" x14ac:dyDescent="0.35">
      <c r="A100" s="111"/>
      <c r="B100" s="111"/>
      <c r="C100" s="111"/>
      <c r="D100" s="112"/>
      <c r="E100" s="112"/>
      <c r="F100" s="112"/>
      <c r="G100" s="171"/>
      <c r="H100" s="171"/>
      <c r="I100" s="171"/>
      <c r="J100" s="119"/>
      <c r="K100" s="119"/>
      <c r="L100" s="119"/>
    </row>
    <row r="101" spans="1:12" ht="25" customHeight="1" x14ac:dyDescent="0.35">
      <c r="A101" s="111"/>
      <c r="B101" s="111"/>
      <c r="C101" s="111"/>
      <c r="D101" s="112"/>
      <c r="E101" s="112"/>
      <c r="F101" s="112"/>
      <c r="G101" s="171"/>
      <c r="H101" s="171"/>
      <c r="I101" s="171"/>
      <c r="J101" s="119"/>
      <c r="K101" s="119"/>
      <c r="L101" s="119"/>
    </row>
    <row r="102" spans="1:12" ht="25" customHeight="1" x14ac:dyDescent="0.35">
      <c r="A102" s="111"/>
      <c r="B102" s="111"/>
      <c r="C102" s="111"/>
      <c r="D102" s="112"/>
      <c r="E102" s="112"/>
      <c r="F102" s="112"/>
      <c r="G102" s="171"/>
      <c r="H102" s="171"/>
      <c r="I102" s="171"/>
      <c r="J102" s="119"/>
      <c r="K102" s="119"/>
      <c r="L102" s="119"/>
    </row>
    <row r="103" spans="1:12" ht="25" customHeight="1" x14ac:dyDescent="0.35">
      <c r="A103" s="111"/>
      <c r="B103" s="111"/>
      <c r="C103" s="111"/>
      <c r="D103" s="112"/>
      <c r="E103" s="112"/>
      <c r="F103" s="112"/>
      <c r="G103" s="171"/>
      <c r="H103" s="171"/>
      <c r="I103" s="171"/>
      <c r="J103" s="119"/>
      <c r="K103" s="119"/>
      <c r="L103" s="119"/>
    </row>
    <row r="104" spans="1:12" ht="25" customHeight="1" x14ac:dyDescent="0.35">
      <c r="A104" s="111"/>
      <c r="B104" s="111"/>
      <c r="C104" s="111"/>
      <c r="D104" s="112"/>
      <c r="E104" s="112"/>
      <c r="F104" s="112"/>
      <c r="G104" s="171"/>
      <c r="H104" s="171"/>
      <c r="I104" s="171"/>
      <c r="J104" s="119"/>
      <c r="K104" s="119"/>
      <c r="L104" s="119"/>
    </row>
    <row r="105" spans="1:12" ht="25" customHeight="1" x14ac:dyDescent="0.35">
      <c r="A105" s="111"/>
      <c r="B105" s="111"/>
      <c r="C105" s="111"/>
      <c r="D105" s="112"/>
      <c r="E105" s="112"/>
      <c r="F105" s="112"/>
      <c r="G105" s="171"/>
      <c r="H105" s="171"/>
      <c r="I105" s="171"/>
      <c r="J105" s="119"/>
      <c r="K105" s="119"/>
      <c r="L105" s="119"/>
    </row>
    <row r="106" spans="1:12" ht="25" customHeight="1" x14ac:dyDescent="0.35">
      <c r="A106" s="111"/>
      <c r="B106" s="111"/>
      <c r="C106" s="111"/>
      <c r="D106" s="112"/>
      <c r="E106" s="112"/>
      <c r="F106" s="112"/>
      <c r="G106" s="171"/>
      <c r="H106" s="171"/>
      <c r="I106" s="171"/>
      <c r="J106" s="119"/>
      <c r="K106" s="119"/>
      <c r="L106" s="119"/>
    </row>
    <row r="107" spans="1:12" ht="25" customHeight="1" x14ac:dyDescent="0.35">
      <c r="A107" s="111"/>
      <c r="B107" s="111"/>
      <c r="C107" s="111"/>
      <c r="D107" s="112"/>
      <c r="E107" s="112"/>
      <c r="F107" s="112"/>
      <c r="G107" s="171"/>
      <c r="H107" s="171"/>
      <c r="I107" s="171"/>
      <c r="J107" s="119"/>
      <c r="K107" s="119"/>
      <c r="L107" s="119"/>
    </row>
    <row r="108" spans="1:12" ht="25" customHeight="1" x14ac:dyDescent="0.35">
      <c r="A108" s="111"/>
      <c r="B108" s="111"/>
      <c r="C108" s="111"/>
      <c r="D108" s="112"/>
      <c r="E108" s="112"/>
      <c r="F108" s="112"/>
      <c r="G108" s="171"/>
      <c r="H108" s="171"/>
      <c r="I108" s="171"/>
      <c r="J108" s="119"/>
      <c r="K108" s="119"/>
      <c r="L108" s="119"/>
    </row>
    <row r="109" spans="1:12" ht="25" customHeight="1" x14ac:dyDescent="0.35">
      <c r="A109" s="111"/>
      <c r="B109" s="111"/>
      <c r="C109" s="111"/>
      <c r="D109" s="112"/>
      <c r="E109" s="112"/>
      <c r="F109" s="112"/>
      <c r="G109" s="171"/>
      <c r="H109" s="171"/>
      <c r="I109" s="171"/>
      <c r="J109" s="119"/>
      <c r="K109" s="119"/>
      <c r="L109" s="119"/>
    </row>
    <row r="110" spans="1:12" ht="25" customHeight="1" x14ac:dyDescent="0.35">
      <c r="A110" s="111"/>
      <c r="B110" s="111"/>
      <c r="C110" s="111"/>
      <c r="D110" s="112"/>
      <c r="E110" s="112"/>
      <c r="F110" s="112"/>
      <c r="G110" s="171"/>
      <c r="H110" s="171"/>
      <c r="I110" s="171"/>
      <c r="J110" s="119"/>
      <c r="K110" s="119"/>
      <c r="L110" s="119"/>
    </row>
    <row r="111" spans="1:12" ht="25" customHeight="1" x14ac:dyDescent="0.35">
      <c r="A111" s="111"/>
      <c r="B111" s="111"/>
      <c r="C111" s="111"/>
      <c r="D111" s="112"/>
      <c r="E111" s="112"/>
      <c r="F111" s="112"/>
      <c r="G111" s="171"/>
      <c r="H111" s="171"/>
      <c r="I111" s="171"/>
      <c r="J111" s="119"/>
      <c r="K111" s="119"/>
      <c r="L111" s="119"/>
    </row>
    <row r="112" spans="1:12" ht="25" customHeight="1" x14ac:dyDescent="0.35">
      <c r="A112" s="111"/>
      <c r="B112" s="111"/>
      <c r="C112" s="111"/>
      <c r="D112" s="112"/>
      <c r="E112" s="112"/>
      <c r="F112" s="112"/>
      <c r="G112" s="171"/>
      <c r="H112" s="171"/>
      <c r="I112" s="171"/>
      <c r="J112" s="119"/>
      <c r="K112" s="119"/>
      <c r="L112" s="119"/>
    </row>
    <row r="113" spans="1:12" ht="25" customHeight="1" x14ac:dyDescent="0.35">
      <c r="A113" s="111"/>
      <c r="B113" s="111"/>
      <c r="C113" s="111"/>
      <c r="D113" s="112"/>
      <c r="E113" s="112"/>
      <c r="F113" s="112"/>
      <c r="G113" s="171"/>
      <c r="H113" s="171"/>
      <c r="I113" s="171"/>
      <c r="J113" s="119"/>
      <c r="K113" s="119"/>
      <c r="L113" s="119"/>
    </row>
    <row r="114" spans="1:12" ht="25" customHeight="1" x14ac:dyDescent="0.35">
      <c r="A114" s="111"/>
      <c r="B114" s="111"/>
      <c r="C114" s="111"/>
      <c r="D114" s="112"/>
      <c r="E114" s="112"/>
      <c r="F114" s="112"/>
      <c r="G114" s="171"/>
      <c r="H114" s="171"/>
      <c r="I114" s="171"/>
      <c r="J114" s="119"/>
      <c r="K114" s="119"/>
      <c r="L114" s="119"/>
    </row>
    <row r="115" spans="1:12" ht="25" customHeight="1" x14ac:dyDescent="0.35">
      <c r="A115" s="111"/>
      <c r="B115" s="111"/>
      <c r="C115" s="111"/>
      <c r="D115" s="112"/>
      <c r="E115" s="112"/>
      <c r="F115" s="112"/>
      <c r="G115" s="171"/>
      <c r="H115" s="171"/>
      <c r="I115" s="171"/>
      <c r="J115" s="119"/>
      <c r="K115" s="119"/>
      <c r="L115" s="119"/>
    </row>
    <row r="116" spans="1:12" ht="25" customHeight="1" x14ac:dyDescent="0.35">
      <c r="A116" s="111"/>
      <c r="B116" s="111"/>
      <c r="C116" s="111"/>
      <c r="D116" s="112"/>
      <c r="E116" s="112"/>
      <c r="F116" s="112"/>
      <c r="G116" s="171"/>
      <c r="H116" s="171"/>
      <c r="I116" s="171"/>
      <c r="J116" s="119"/>
      <c r="K116" s="119"/>
      <c r="L116" s="119"/>
    </row>
    <row r="117" spans="1:12" ht="25" customHeight="1" x14ac:dyDescent="0.35">
      <c r="A117" s="111"/>
      <c r="B117" s="111"/>
      <c r="C117" s="111"/>
      <c r="D117" s="112"/>
      <c r="E117" s="112"/>
      <c r="F117" s="112"/>
      <c r="G117" s="171"/>
      <c r="H117" s="171"/>
      <c r="I117" s="171"/>
      <c r="J117" s="119"/>
      <c r="K117" s="119"/>
      <c r="L117" s="119"/>
    </row>
    <row r="118" spans="1:12" ht="25" customHeight="1" x14ac:dyDescent="0.35">
      <c r="A118" s="111"/>
      <c r="B118" s="111"/>
      <c r="C118" s="111"/>
      <c r="D118" s="112"/>
      <c r="E118" s="112"/>
      <c r="F118" s="112"/>
      <c r="G118" s="171"/>
      <c r="H118" s="171"/>
      <c r="I118" s="171"/>
      <c r="J118" s="119"/>
      <c r="K118" s="119"/>
      <c r="L118" s="119"/>
    </row>
    <row r="119" spans="1:12" ht="25" customHeight="1" x14ac:dyDescent="0.35">
      <c r="A119" s="111"/>
      <c r="B119" s="111"/>
      <c r="C119" s="111"/>
      <c r="D119" s="112"/>
      <c r="E119" s="112"/>
      <c r="F119" s="112"/>
      <c r="G119" s="171"/>
      <c r="H119" s="171"/>
      <c r="I119" s="171"/>
      <c r="J119" s="119"/>
      <c r="K119" s="119"/>
      <c r="L119" s="119"/>
    </row>
    <row r="120" spans="1:12" ht="25" customHeight="1" x14ac:dyDescent="0.35">
      <c r="A120" s="111"/>
      <c r="B120" s="111"/>
      <c r="C120" s="111"/>
      <c r="D120" s="112"/>
      <c r="E120" s="112"/>
      <c r="F120" s="112"/>
      <c r="G120" s="171"/>
      <c r="H120" s="171"/>
      <c r="I120" s="171"/>
      <c r="J120" s="119"/>
      <c r="K120" s="119"/>
      <c r="L120" s="119"/>
    </row>
    <row r="121" spans="1:12" ht="25" customHeight="1" x14ac:dyDescent="0.35">
      <c r="A121" s="111"/>
      <c r="B121" s="111"/>
      <c r="C121" s="111"/>
      <c r="D121" s="112"/>
      <c r="E121" s="112"/>
      <c r="F121" s="112"/>
      <c r="G121" s="171"/>
      <c r="H121" s="171"/>
      <c r="I121" s="171"/>
      <c r="J121" s="119"/>
      <c r="K121" s="119"/>
      <c r="L121" s="119"/>
    </row>
    <row r="122" spans="1:12" ht="25" customHeight="1" x14ac:dyDescent="0.35">
      <c r="A122" s="111"/>
      <c r="B122" s="111"/>
      <c r="C122" s="111"/>
      <c r="D122" s="112"/>
      <c r="E122" s="112"/>
      <c r="F122" s="112"/>
      <c r="G122" s="171"/>
      <c r="H122" s="171"/>
      <c r="I122" s="171"/>
      <c r="J122" s="119"/>
      <c r="K122" s="119"/>
      <c r="L122" s="119"/>
    </row>
    <row r="123" spans="1:12" ht="25" customHeight="1" x14ac:dyDescent="0.35">
      <c r="A123" s="111"/>
      <c r="B123" s="111"/>
      <c r="C123" s="111"/>
      <c r="D123" s="112"/>
      <c r="E123" s="112"/>
      <c r="F123" s="112"/>
      <c r="G123" s="171"/>
      <c r="H123" s="171"/>
      <c r="I123" s="171"/>
      <c r="J123" s="119"/>
      <c r="K123" s="119"/>
      <c r="L123" s="119"/>
    </row>
    <row r="124" spans="1:12" ht="25" customHeight="1" x14ac:dyDescent="0.35">
      <c r="A124" s="111"/>
      <c r="B124" s="111"/>
      <c r="C124" s="111"/>
      <c r="D124" s="112"/>
      <c r="E124" s="112"/>
      <c r="F124" s="112"/>
      <c r="G124" s="171"/>
      <c r="H124" s="171"/>
      <c r="I124" s="171"/>
      <c r="J124" s="119"/>
      <c r="K124" s="119"/>
      <c r="L124" s="119"/>
    </row>
    <row r="125" spans="1:12" ht="25" customHeight="1" x14ac:dyDescent="0.35">
      <c r="A125" s="111"/>
      <c r="B125" s="111"/>
      <c r="C125" s="111"/>
      <c r="D125" s="112"/>
      <c r="E125" s="112"/>
      <c r="F125" s="112"/>
      <c r="G125" s="171"/>
      <c r="H125" s="171"/>
      <c r="I125" s="171"/>
      <c r="J125" s="119"/>
      <c r="K125" s="119"/>
      <c r="L125" s="119"/>
    </row>
    <row r="126" spans="1:12" ht="25" customHeight="1" x14ac:dyDescent="0.35">
      <c r="A126" s="111"/>
      <c r="B126" s="111"/>
      <c r="C126" s="111"/>
      <c r="D126" s="112"/>
      <c r="E126" s="112"/>
      <c r="F126" s="112"/>
      <c r="G126" s="171"/>
      <c r="H126" s="171"/>
      <c r="I126" s="171"/>
      <c r="J126" s="119"/>
      <c r="K126" s="119"/>
      <c r="L126" s="119"/>
    </row>
    <row r="127" spans="1:12" ht="25" customHeight="1" x14ac:dyDescent="0.35">
      <c r="A127" s="111"/>
      <c r="B127" s="111"/>
      <c r="C127" s="111"/>
      <c r="D127" s="112"/>
      <c r="E127" s="112"/>
      <c r="F127" s="112"/>
      <c r="G127" s="171"/>
      <c r="H127" s="171"/>
      <c r="I127" s="171"/>
      <c r="J127" s="119"/>
      <c r="K127" s="119"/>
      <c r="L127" s="119"/>
    </row>
    <row r="128" spans="1:12" ht="25" customHeight="1" x14ac:dyDescent="0.35">
      <c r="A128" s="111"/>
      <c r="B128" s="111"/>
      <c r="C128" s="111"/>
      <c r="D128" s="112"/>
      <c r="E128" s="112"/>
      <c r="F128" s="112"/>
      <c r="G128" s="171"/>
      <c r="H128" s="171"/>
      <c r="I128" s="171"/>
      <c r="J128" s="119"/>
      <c r="K128" s="119"/>
      <c r="L128" s="119"/>
    </row>
    <row r="129" spans="1:12" ht="25" customHeight="1" x14ac:dyDescent="0.35">
      <c r="A129" s="111"/>
      <c r="B129" s="111"/>
      <c r="C129" s="111"/>
      <c r="D129" s="112"/>
      <c r="E129" s="112"/>
      <c r="F129" s="112"/>
      <c r="G129" s="171"/>
      <c r="H129" s="171"/>
      <c r="I129" s="171"/>
      <c r="J129" s="119"/>
      <c r="K129" s="119"/>
      <c r="L129" s="119"/>
    </row>
    <row r="130" spans="1:12" ht="25" customHeight="1" x14ac:dyDescent="0.35">
      <c r="A130" s="111"/>
      <c r="B130" s="111"/>
      <c r="C130" s="111"/>
      <c r="D130" s="112"/>
      <c r="E130" s="112"/>
      <c r="F130" s="112"/>
      <c r="G130" s="171"/>
      <c r="H130" s="171"/>
      <c r="I130" s="171"/>
      <c r="J130" s="119"/>
      <c r="K130" s="119"/>
      <c r="L130" s="119"/>
    </row>
    <row r="131" spans="1:12" ht="25" customHeight="1" x14ac:dyDescent="0.35">
      <c r="A131" s="111"/>
      <c r="B131" s="111"/>
      <c r="C131" s="111"/>
      <c r="D131" s="112"/>
      <c r="E131" s="112"/>
      <c r="F131" s="112"/>
      <c r="G131" s="171"/>
      <c r="H131" s="171"/>
      <c r="I131" s="171"/>
      <c r="J131" s="119"/>
      <c r="K131" s="119"/>
      <c r="L131" s="119"/>
    </row>
    <row r="132" spans="1:12" ht="25" customHeight="1" x14ac:dyDescent="0.35">
      <c r="A132" s="111"/>
      <c r="B132" s="111"/>
      <c r="C132" s="111"/>
      <c r="D132" s="112"/>
      <c r="E132" s="112"/>
      <c r="F132" s="112"/>
      <c r="G132" s="171"/>
      <c r="H132" s="171"/>
      <c r="I132" s="171"/>
      <c r="J132" s="119"/>
      <c r="K132" s="119"/>
      <c r="L132" s="119"/>
    </row>
    <row r="133" spans="1:12" ht="25" customHeight="1" x14ac:dyDescent="0.35">
      <c r="A133" s="111"/>
      <c r="B133" s="111"/>
      <c r="C133" s="111"/>
      <c r="D133" s="112"/>
      <c r="E133" s="112"/>
      <c r="F133" s="112"/>
      <c r="G133" s="171"/>
      <c r="H133" s="171"/>
      <c r="I133" s="171"/>
      <c r="J133" s="119"/>
      <c r="K133" s="119"/>
      <c r="L133" s="119"/>
    </row>
    <row r="134" spans="1:12" ht="25" customHeight="1" x14ac:dyDescent="0.35">
      <c r="A134" s="111"/>
      <c r="B134" s="111"/>
      <c r="C134" s="111"/>
      <c r="D134" s="112"/>
      <c r="E134" s="112"/>
      <c r="F134" s="112"/>
      <c r="G134" s="171"/>
      <c r="H134" s="171"/>
      <c r="I134" s="171"/>
      <c r="J134" s="119"/>
      <c r="K134" s="119"/>
      <c r="L134" s="119"/>
    </row>
    <row r="135" spans="1:12" ht="25" customHeight="1" x14ac:dyDescent="0.35">
      <c r="A135" s="111"/>
      <c r="B135" s="111"/>
      <c r="C135" s="111"/>
      <c r="D135" s="112"/>
      <c r="E135" s="112"/>
      <c r="F135" s="112"/>
      <c r="G135" s="171"/>
      <c r="H135" s="171"/>
      <c r="I135" s="171"/>
      <c r="J135" s="119"/>
      <c r="K135" s="119"/>
      <c r="L135" s="119"/>
    </row>
    <row r="136" spans="1:12" ht="25" customHeight="1" x14ac:dyDescent="0.35">
      <c r="A136" s="111"/>
      <c r="B136" s="111"/>
      <c r="C136" s="111"/>
      <c r="D136" s="112"/>
      <c r="E136" s="112"/>
      <c r="F136" s="112"/>
      <c r="G136" s="171"/>
      <c r="H136" s="171"/>
      <c r="I136" s="171"/>
      <c r="J136" s="119"/>
      <c r="K136" s="119"/>
      <c r="L136" s="119"/>
    </row>
    <row r="137" spans="1:12" ht="25" customHeight="1" x14ac:dyDescent="0.35">
      <c r="A137" s="111"/>
      <c r="B137" s="111"/>
      <c r="C137" s="111"/>
      <c r="D137" s="112"/>
      <c r="E137" s="112"/>
      <c r="F137" s="112"/>
      <c r="G137" s="171"/>
      <c r="H137" s="171"/>
      <c r="I137" s="171"/>
      <c r="J137" s="119"/>
      <c r="K137" s="119"/>
      <c r="L137" s="119"/>
    </row>
    <row r="138" spans="1:12" ht="25" customHeight="1" x14ac:dyDescent="0.35">
      <c r="A138" s="111"/>
      <c r="B138" s="111"/>
      <c r="C138" s="111"/>
      <c r="D138" s="112"/>
      <c r="E138" s="112"/>
      <c r="F138" s="112"/>
      <c r="G138" s="171"/>
      <c r="H138" s="171"/>
      <c r="I138" s="171"/>
      <c r="J138" s="119"/>
      <c r="K138" s="119"/>
      <c r="L138" s="119"/>
    </row>
    <row r="139" spans="1:12" ht="25" customHeight="1" x14ac:dyDescent="0.35">
      <c r="A139" s="111"/>
      <c r="B139" s="111"/>
      <c r="C139" s="111"/>
      <c r="D139" s="112"/>
      <c r="E139" s="112"/>
      <c r="F139" s="112"/>
      <c r="G139" s="171"/>
      <c r="H139" s="171"/>
      <c r="I139" s="171"/>
      <c r="J139" s="119"/>
      <c r="K139" s="119"/>
      <c r="L139" s="119"/>
    </row>
    <row r="140" spans="1:12" ht="25" customHeight="1" x14ac:dyDescent="0.35">
      <c r="A140" s="111"/>
      <c r="B140" s="111"/>
      <c r="C140" s="111"/>
      <c r="D140" s="112"/>
      <c r="E140" s="112"/>
      <c r="F140" s="112"/>
      <c r="G140" s="171"/>
      <c r="H140" s="171"/>
      <c r="I140" s="171"/>
      <c r="J140" s="119"/>
      <c r="K140" s="119"/>
      <c r="L140" s="119"/>
    </row>
    <row r="141" spans="1:12" ht="25" customHeight="1" x14ac:dyDescent="0.35">
      <c r="A141" s="111"/>
      <c r="B141" s="111"/>
      <c r="C141" s="111"/>
      <c r="D141" s="112"/>
      <c r="E141" s="112"/>
      <c r="F141" s="112"/>
      <c r="G141" s="171"/>
      <c r="H141" s="171"/>
      <c r="I141" s="171"/>
      <c r="J141" s="119"/>
      <c r="K141" s="119"/>
      <c r="L141" s="119"/>
    </row>
    <row r="142" spans="1:12" ht="25" customHeight="1" x14ac:dyDescent="0.35">
      <c r="A142" s="111"/>
      <c r="B142" s="111"/>
      <c r="C142" s="111"/>
      <c r="D142" s="112"/>
      <c r="E142" s="112"/>
      <c r="F142" s="112"/>
      <c r="G142" s="171"/>
      <c r="H142" s="171"/>
      <c r="I142" s="171"/>
      <c r="J142" s="119"/>
      <c r="K142" s="119"/>
      <c r="L142" s="119"/>
    </row>
    <row r="143" spans="1:12" ht="25" customHeight="1" x14ac:dyDescent="0.35">
      <c r="A143" s="111"/>
      <c r="B143" s="111"/>
      <c r="C143" s="111"/>
      <c r="D143" s="112"/>
      <c r="E143" s="112"/>
      <c r="F143" s="112"/>
      <c r="G143" s="171"/>
      <c r="H143" s="171"/>
      <c r="I143" s="171"/>
      <c r="J143" s="119"/>
      <c r="K143" s="119"/>
      <c r="L143" s="119"/>
    </row>
    <row r="144" spans="1:12" ht="25" customHeight="1" x14ac:dyDescent="0.35">
      <c r="A144" s="111"/>
      <c r="B144" s="111"/>
      <c r="C144" s="111"/>
      <c r="D144" s="112"/>
      <c r="E144" s="112"/>
      <c r="F144" s="112"/>
      <c r="G144" s="171"/>
      <c r="H144" s="171"/>
      <c r="I144" s="171"/>
      <c r="J144" s="119"/>
      <c r="K144" s="119"/>
      <c r="L144" s="119"/>
    </row>
    <row r="145" spans="1:12" ht="25" customHeight="1" x14ac:dyDescent="0.35">
      <c r="A145" s="111"/>
      <c r="B145" s="111"/>
      <c r="C145" s="111"/>
      <c r="D145" s="112"/>
      <c r="E145" s="112"/>
      <c r="F145" s="112"/>
      <c r="G145" s="171"/>
      <c r="H145" s="171"/>
      <c r="I145" s="171"/>
      <c r="J145" s="119"/>
      <c r="K145" s="119"/>
      <c r="L145" s="119"/>
    </row>
    <row r="146" spans="1:12" ht="25" customHeight="1" x14ac:dyDescent="0.35">
      <c r="A146" s="111"/>
      <c r="B146" s="111"/>
      <c r="C146" s="111"/>
      <c r="D146" s="112"/>
      <c r="E146" s="112"/>
      <c r="F146" s="112"/>
      <c r="G146" s="171"/>
      <c r="H146" s="171"/>
      <c r="I146" s="171"/>
      <c r="J146" s="119"/>
      <c r="K146" s="119"/>
      <c r="L146" s="119"/>
    </row>
    <row r="147" spans="1:12" ht="25" customHeight="1" x14ac:dyDescent="0.35">
      <c r="A147" s="111"/>
      <c r="B147" s="111"/>
      <c r="C147" s="111"/>
      <c r="D147" s="112"/>
      <c r="E147" s="112"/>
      <c r="F147" s="112"/>
      <c r="G147" s="171"/>
      <c r="H147" s="171"/>
      <c r="I147" s="171"/>
      <c r="J147" s="119"/>
      <c r="K147" s="119"/>
      <c r="L147" s="119"/>
    </row>
    <row r="148" spans="1:12" ht="25" customHeight="1" x14ac:dyDescent="0.35">
      <c r="A148" s="111"/>
      <c r="B148" s="111"/>
      <c r="C148" s="111"/>
      <c r="D148" s="112"/>
      <c r="E148" s="112"/>
      <c r="F148" s="112"/>
      <c r="G148" s="171"/>
      <c r="H148" s="171"/>
      <c r="I148" s="171"/>
      <c r="J148" s="119"/>
      <c r="K148" s="119"/>
      <c r="L148" s="119"/>
    </row>
    <row r="149" spans="1:12" ht="25" customHeight="1" x14ac:dyDescent="0.35">
      <c r="A149" s="111"/>
      <c r="B149" s="111"/>
      <c r="C149" s="111"/>
      <c r="D149" s="112"/>
      <c r="E149" s="112"/>
      <c r="F149" s="112"/>
      <c r="G149" s="171"/>
      <c r="H149" s="171"/>
      <c r="I149" s="171"/>
      <c r="J149" s="119"/>
      <c r="K149" s="119"/>
      <c r="L149" s="119"/>
    </row>
    <row r="150" spans="1:12" ht="25" customHeight="1" x14ac:dyDescent="0.35">
      <c r="A150" s="111"/>
      <c r="B150" s="111"/>
      <c r="C150" s="111"/>
      <c r="D150" s="112"/>
      <c r="E150" s="112"/>
      <c r="F150" s="112"/>
      <c r="G150" s="171"/>
      <c r="H150" s="171"/>
      <c r="I150" s="171"/>
      <c r="J150" s="119"/>
      <c r="K150" s="119"/>
      <c r="L150" s="119"/>
    </row>
    <row r="151" spans="1:12" ht="25" customHeight="1" x14ac:dyDescent="0.35">
      <c r="A151" s="111"/>
      <c r="B151" s="111"/>
      <c r="C151" s="111"/>
      <c r="D151" s="112"/>
      <c r="E151" s="112"/>
      <c r="F151" s="112"/>
      <c r="G151" s="171"/>
      <c r="H151" s="171"/>
      <c r="I151" s="171"/>
      <c r="J151" s="119"/>
      <c r="K151" s="119"/>
      <c r="L151" s="119"/>
    </row>
    <row r="152" spans="1:12" ht="25" customHeight="1" x14ac:dyDescent="0.35">
      <c r="A152" s="111"/>
      <c r="B152" s="111"/>
      <c r="C152" s="111"/>
      <c r="D152" s="112"/>
      <c r="E152" s="112"/>
      <c r="F152" s="112"/>
      <c r="G152" s="171"/>
      <c r="H152" s="171"/>
      <c r="I152" s="171"/>
      <c r="J152" s="119"/>
      <c r="K152" s="119"/>
      <c r="L152" s="119"/>
    </row>
    <row r="153" spans="1:12" ht="25" customHeight="1" x14ac:dyDescent="0.35">
      <c r="A153" s="111"/>
      <c r="B153" s="111"/>
      <c r="C153" s="111"/>
      <c r="D153" s="112"/>
      <c r="E153" s="112"/>
      <c r="F153" s="112"/>
      <c r="G153" s="171"/>
      <c r="H153" s="171"/>
      <c r="I153" s="171"/>
      <c r="J153" s="119"/>
      <c r="K153" s="119"/>
      <c r="L153" s="119"/>
    </row>
    <row r="154" spans="1:12" ht="25" customHeight="1" x14ac:dyDescent="0.35">
      <c r="A154" s="111"/>
      <c r="B154" s="111"/>
      <c r="C154" s="111"/>
      <c r="D154" s="112"/>
      <c r="E154" s="112"/>
      <c r="F154" s="112"/>
      <c r="G154" s="171"/>
      <c r="H154" s="171"/>
      <c r="I154" s="171"/>
      <c r="J154" s="119"/>
      <c r="K154" s="119"/>
      <c r="L154" s="119"/>
    </row>
    <row r="155" spans="1:12" ht="25" customHeight="1" x14ac:dyDescent="0.35">
      <c r="A155" s="111"/>
      <c r="B155" s="111"/>
      <c r="C155" s="111"/>
      <c r="D155" s="112"/>
      <c r="E155" s="112"/>
      <c r="F155" s="112"/>
      <c r="G155" s="171"/>
      <c r="H155" s="171"/>
      <c r="I155" s="171"/>
      <c r="J155" s="119"/>
      <c r="K155" s="119"/>
      <c r="L155" s="119"/>
    </row>
    <row r="156" spans="1:12" ht="25" customHeight="1" x14ac:dyDescent="0.35">
      <c r="A156" s="111"/>
      <c r="B156" s="111"/>
      <c r="C156" s="111"/>
      <c r="D156" s="112"/>
      <c r="E156" s="112"/>
      <c r="F156" s="112"/>
      <c r="G156" s="171"/>
      <c r="H156" s="171"/>
      <c r="I156" s="171"/>
      <c r="J156" s="119"/>
      <c r="K156" s="119"/>
      <c r="L156" s="119"/>
    </row>
    <row r="157" spans="1:12" ht="25" customHeight="1" x14ac:dyDescent="0.35">
      <c r="A157" s="111"/>
      <c r="B157" s="111"/>
      <c r="C157" s="111"/>
      <c r="D157" s="112"/>
      <c r="E157" s="112"/>
      <c r="F157" s="112"/>
      <c r="G157" s="171"/>
      <c r="H157" s="171"/>
      <c r="I157" s="171"/>
      <c r="J157" s="119"/>
      <c r="K157" s="119"/>
      <c r="L157" s="119"/>
    </row>
    <row r="158" spans="1:12" ht="25" customHeight="1" x14ac:dyDescent="0.35">
      <c r="A158" s="111"/>
      <c r="B158" s="111"/>
      <c r="C158" s="111"/>
      <c r="D158" s="112"/>
      <c r="E158" s="112"/>
      <c r="F158" s="112"/>
      <c r="G158" s="171"/>
      <c r="H158" s="171"/>
      <c r="I158" s="171"/>
      <c r="J158" s="119"/>
      <c r="K158" s="119"/>
      <c r="L158" s="119"/>
    </row>
    <row r="159" spans="1:12" ht="25" customHeight="1" x14ac:dyDescent="0.35">
      <c r="A159" s="111"/>
      <c r="B159" s="111"/>
      <c r="C159" s="111"/>
      <c r="D159" s="112"/>
      <c r="E159" s="112"/>
      <c r="F159" s="112"/>
      <c r="G159" s="171"/>
      <c r="H159" s="171"/>
      <c r="I159" s="171"/>
      <c r="J159" s="119"/>
      <c r="K159" s="119"/>
      <c r="L159" s="119"/>
    </row>
    <row r="160" spans="1:12" ht="25" customHeight="1" x14ac:dyDescent="0.35">
      <c r="A160" s="111"/>
      <c r="B160" s="111"/>
      <c r="C160" s="111"/>
      <c r="D160" s="112"/>
      <c r="E160" s="112"/>
      <c r="F160" s="112"/>
      <c r="G160" s="171"/>
      <c r="H160" s="171"/>
      <c r="I160" s="171"/>
      <c r="J160" s="119"/>
      <c r="K160" s="119"/>
      <c r="L160" s="119"/>
    </row>
    <row r="161" spans="1:12" ht="25" customHeight="1" x14ac:dyDescent="0.35">
      <c r="A161" s="111"/>
      <c r="B161" s="111"/>
      <c r="C161" s="111"/>
      <c r="D161" s="112"/>
      <c r="E161" s="112"/>
      <c r="F161" s="112"/>
      <c r="G161" s="171"/>
      <c r="H161" s="171"/>
      <c r="I161" s="171"/>
      <c r="J161" s="119"/>
      <c r="K161" s="119"/>
      <c r="L161" s="119"/>
    </row>
    <row r="162" spans="1:12" ht="25" customHeight="1" x14ac:dyDescent="0.35">
      <c r="A162" s="111"/>
      <c r="B162" s="111"/>
      <c r="C162" s="111"/>
      <c r="D162" s="112"/>
      <c r="E162" s="112"/>
      <c r="F162" s="112"/>
      <c r="G162" s="171"/>
      <c r="H162" s="171"/>
      <c r="I162" s="171"/>
      <c r="J162" s="119"/>
      <c r="K162" s="119"/>
      <c r="L162" s="119"/>
    </row>
    <row r="163" spans="1:12" ht="25" customHeight="1" x14ac:dyDescent="0.35">
      <c r="A163" s="111"/>
      <c r="B163" s="111"/>
      <c r="C163" s="111"/>
      <c r="D163" s="112"/>
      <c r="E163" s="112"/>
      <c r="F163" s="112"/>
      <c r="G163" s="171"/>
      <c r="H163" s="171"/>
      <c r="I163" s="171"/>
      <c r="J163" s="119"/>
      <c r="K163" s="119"/>
      <c r="L163" s="119"/>
    </row>
    <row r="164" spans="1:12" ht="25" customHeight="1" x14ac:dyDescent="0.35">
      <c r="A164" s="111"/>
      <c r="B164" s="111"/>
      <c r="C164" s="111"/>
      <c r="D164" s="112"/>
      <c r="E164" s="112"/>
      <c r="F164" s="112"/>
      <c r="G164" s="171"/>
      <c r="H164" s="171"/>
      <c r="I164" s="171"/>
      <c r="J164" s="119"/>
      <c r="K164" s="119"/>
      <c r="L164" s="119"/>
    </row>
    <row r="165" spans="1:12" ht="25" customHeight="1" x14ac:dyDescent="0.35">
      <c r="A165" s="111"/>
      <c r="B165" s="111"/>
      <c r="C165" s="111"/>
      <c r="D165" s="112"/>
      <c r="E165" s="112"/>
      <c r="F165" s="112"/>
      <c r="G165" s="171"/>
      <c r="H165" s="171"/>
      <c r="I165" s="171"/>
      <c r="J165" s="119"/>
      <c r="K165" s="119"/>
      <c r="L165" s="119"/>
    </row>
    <row r="166" spans="1:12" ht="25" customHeight="1" x14ac:dyDescent="0.35">
      <c r="A166" s="111"/>
      <c r="B166" s="111"/>
      <c r="C166" s="111"/>
      <c r="D166" s="112"/>
      <c r="E166" s="112"/>
      <c r="F166" s="112"/>
      <c r="G166" s="171"/>
      <c r="H166" s="171"/>
      <c r="I166" s="171"/>
      <c r="J166" s="119"/>
      <c r="K166" s="119"/>
      <c r="L166" s="119"/>
    </row>
    <row r="167" spans="1:12" ht="25" customHeight="1" x14ac:dyDescent="0.35">
      <c r="A167" s="111"/>
      <c r="B167" s="111"/>
      <c r="C167" s="111"/>
      <c r="D167" s="112"/>
      <c r="E167" s="112"/>
      <c r="F167" s="112"/>
      <c r="G167" s="171"/>
      <c r="H167" s="171"/>
      <c r="I167" s="171"/>
      <c r="J167" s="119"/>
      <c r="K167" s="119"/>
      <c r="L167" s="119"/>
    </row>
    <row r="168" spans="1:12" ht="25" customHeight="1" x14ac:dyDescent="0.35">
      <c r="A168" s="111"/>
      <c r="B168" s="111"/>
      <c r="C168" s="111"/>
      <c r="D168" s="112"/>
      <c r="E168" s="112"/>
      <c r="F168" s="112"/>
      <c r="G168" s="171"/>
      <c r="H168" s="171"/>
      <c r="I168" s="171"/>
      <c r="J168" s="119"/>
      <c r="K168" s="119"/>
      <c r="L168" s="119"/>
    </row>
    <row r="169" spans="1:12" ht="25" customHeight="1" x14ac:dyDescent="0.35">
      <c r="A169" s="111"/>
      <c r="B169" s="111"/>
      <c r="C169" s="111"/>
      <c r="D169" s="112"/>
      <c r="E169" s="112"/>
      <c r="F169" s="112"/>
      <c r="G169" s="171"/>
      <c r="H169" s="171"/>
      <c r="I169" s="171"/>
      <c r="J169" s="119"/>
      <c r="K169" s="119"/>
      <c r="L169" s="119"/>
    </row>
    <row r="170" spans="1:12" ht="25" customHeight="1" x14ac:dyDescent="0.35">
      <c r="A170" s="111"/>
      <c r="B170" s="111"/>
      <c r="C170" s="111"/>
      <c r="D170" s="112"/>
      <c r="E170" s="112"/>
      <c r="F170" s="112"/>
      <c r="G170" s="171"/>
      <c r="H170" s="171"/>
      <c r="I170" s="171"/>
      <c r="J170" s="119"/>
      <c r="K170" s="119"/>
      <c r="L170" s="119"/>
    </row>
    <row r="171" spans="1:12" ht="25" customHeight="1" x14ac:dyDescent="0.35">
      <c r="A171" s="111"/>
      <c r="B171" s="111"/>
      <c r="C171" s="111"/>
      <c r="D171" s="112"/>
      <c r="E171" s="112"/>
      <c r="F171" s="112"/>
      <c r="G171" s="171"/>
      <c r="H171" s="171"/>
      <c r="I171" s="171"/>
      <c r="J171" s="119"/>
      <c r="K171" s="119"/>
      <c r="L171" s="119"/>
    </row>
    <row r="172" spans="1:12" ht="25" customHeight="1" x14ac:dyDescent="0.35">
      <c r="A172" s="111"/>
      <c r="B172" s="111"/>
      <c r="C172" s="111"/>
      <c r="D172" s="112"/>
      <c r="E172" s="112"/>
      <c r="F172" s="112"/>
      <c r="G172" s="171"/>
      <c r="H172" s="171"/>
      <c r="I172" s="171"/>
      <c r="J172" s="119"/>
      <c r="K172" s="119"/>
      <c r="L172" s="119"/>
    </row>
    <row r="173" spans="1:12" ht="25" customHeight="1" x14ac:dyDescent="0.35">
      <c r="A173" s="111"/>
      <c r="B173" s="111"/>
      <c r="C173" s="111"/>
      <c r="D173" s="112"/>
      <c r="E173" s="112"/>
      <c r="F173" s="112"/>
      <c r="G173" s="171"/>
      <c r="H173" s="171"/>
      <c r="I173" s="171"/>
      <c r="J173" s="119"/>
      <c r="K173" s="119"/>
      <c r="L173" s="119"/>
    </row>
    <row r="174" spans="1:12" ht="25" customHeight="1" x14ac:dyDescent="0.35">
      <c r="A174" s="111"/>
      <c r="B174" s="111"/>
      <c r="C174" s="111"/>
      <c r="D174" s="112"/>
      <c r="E174" s="112"/>
      <c r="F174" s="112"/>
      <c r="G174" s="171"/>
      <c r="H174" s="171"/>
      <c r="I174" s="171"/>
      <c r="J174" s="119"/>
      <c r="K174" s="119"/>
      <c r="L174" s="119"/>
    </row>
    <row r="175" spans="1:12" ht="25" customHeight="1" x14ac:dyDescent="0.35">
      <c r="A175" s="111"/>
      <c r="B175" s="111"/>
      <c r="C175" s="111"/>
      <c r="D175" s="112"/>
      <c r="E175" s="112"/>
      <c r="F175" s="112"/>
      <c r="G175" s="171"/>
      <c r="H175" s="171"/>
      <c r="I175" s="171"/>
      <c r="J175" s="119"/>
      <c r="K175" s="119"/>
      <c r="L175" s="119"/>
    </row>
    <row r="176" spans="1:12" ht="25" customHeight="1" x14ac:dyDescent="0.35">
      <c r="A176" s="111"/>
      <c r="B176" s="111"/>
      <c r="C176" s="111"/>
      <c r="D176" s="112"/>
      <c r="E176" s="112"/>
      <c r="F176" s="112"/>
      <c r="G176" s="171"/>
      <c r="H176" s="171"/>
      <c r="I176" s="171"/>
      <c r="J176" s="119"/>
      <c r="K176" s="119"/>
      <c r="L176" s="119"/>
    </row>
    <row r="177" spans="1:12" ht="25" customHeight="1" x14ac:dyDescent="0.35">
      <c r="A177" s="111"/>
      <c r="B177" s="111"/>
      <c r="C177" s="111"/>
      <c r="D177" s="112"/>
      <c r="E177" s="112"/>
      <c r="F177" s="112"/>
      <c r="G177" s="171"/>
      <c r="H177" s="171"/>
      <c r="I177" s="171"/>
      <c r="J177" s="119"/>
      <c r="K177" s="119"/>
      <c r="L177" s="119"/>
    </row>
    <row r="178" spans="1:12" ht="25" customHeight="1" x14ac:dyDescent="0.35">
      <c r="A178" s="111"/>
      <c r="B178" s="111"/>
      <c r="C178" s="111"/>
      <c r="D178" s="112"/>
      <c r="E178" s="112"/>
      <c r="F178" s="112"/>
      <c r="G178" s="171"/>
      <c r="H178" s="171"/>
      <c r="I178" s="171"/>
      <c r="J178" s="119"/>
      <c r="K178" s="119"/>
      <c r="L178" s="119"/>
    </row>
    <row r="179" spans="1:12" ht="25" customHeight="1" x14ac:dyDescent="0.35">
      <c r="A179" s="111"/>
      <c r="B179" s="111"/>
      <c r="C179" s="111"/>
      <c r="D179" s="112"/>
      <c r="E179" s="112"/>
      <c r="F179" s="112"/>
      <c r="G179" s="171"/>
      <c r="H179" s="171"/>
      <c r="I179" s="171"/>
      <c r="J179" s="119"/>
      <c r="K179" s="119"/>
      <c r="L179" s="119"/>
    </row>
    <row r="180" spans="1:12" ht="25" customHeight="1" x14ac:dyDescent="0.35">
      <c r="A180" s="111"/>
      <c r="B180" s="111"/>
      <c r="C180" s="111"/>
      <c r="D180" s="112"/>
      <c r="E180" s="112"/>
      <c r="F180" s="112"/>
      <c r="G180" s="171"/>
      <c r="H180" s="171"/>
      <c r="I180" s="171"/>
      <c r="J180" s="119"/>
      <c r="K180" s="119"/>
      <c r="L180" s="119"/>
    </row>
    <row r="181" spans="1:12" ht="25" customHeight="1" x14ac:dyDescent="0.35">
      <c r="A181" s="111"/>
      <c r="B181" s="111"/>
      <c r="C181" s="111"/>
      <c r="D181" s="112"/>
      <c r="E181" s="112"/>
      <c r="F181" s="112"/>
      <c r="G181" s="171"/>
      <c r="H181" s="171"/>
      <c r="I181" s="171"/>
      <c r="J181" s="119"/>
      <c r="K181" s="119"/>
      <c r="L181" s="119"/>
    </row>
    <row r="182" spans="1:12" ht="25" customHeight="1" x14ac:dyDescent="0.35">
      <c r="A182" s="111"/>
      <c r="B182" s="111"/>
      <c r="C182" s="111"/>
      <c r="D182" s="112"/>
      <c r="E182" s="112"/>
      <c r="F182" s="112"/>
      <c r="G182" s="171"/>
      <c r="H182" s="171"/>
      <c r="I182" s="171"/>
      <c r="J182" s="119"/>
      <c r="K182" s="119"/>
      <c r="L182" s="119"/>
    </row>
    <row r="183" spans="1:12" ht="25" customHeight="1" x14ac:dyDescent="0.35">
      <c r="A183" s="111"/>
      <c r="B183" s="111"/>
      <c r="C183" s="111"/>
      <c r="D183" s="112"/>
      <c r="E183" s="112"/>
      <c r="F183" s="112"/>
      <c r="G183" s="171"/>
      <c r="H183" s="171"/>
      <c r="I183" s="171"/>
      <c r="J183" s="119"/>
      <c r="K183" s="119"/>
      <c r="L183" s="119"/>
    </row>
    <row r="184" spans="1:12" ht="25" customHeight="1" x14ac:dyDescent="0.35">
      <c r="A184" s="111"/>
      <c r="B184" s="111"/>
      <c r="C184" s="111"/>
      <c r="D184" s="112"/>
      <c r="E184" s="112"/>
      <c r="F184" s="112"/>
      <c r="G184" s="171"/>
      <c r="H184" s="171"/>
      <c r="I184" s="171"/>
      <c r="J184" s="119"/>
      <c r="K184" s="119"/>
      <c r="L184" s="119"/>
    </row>
    <row r="185" spans="1:12" ht="25" customHeight="1" x14ac:dyDescent="0.35">
      <c r="A185" s="111"/>
      <c r="B185" s="111"/>
      <c r="C185" s="111"/>
      <c r="D185" s="112"/>
      <c r="E185" s="112"/>
      <c r="F185" s="112"/>
      <c r="G185" s="171"/>
      <c r="H185" s="171"/>
      <c r="I185" s="171"/>
      <c r="J185" s="119"/>
      <c r="K185" s="119"/>
      <c r="L185" s="119"/>
    </row>
    <row r="186" spans="1:12" ht="25" customHeight="1" x14ac:dyDescent="0.35">
      <c r="A186" s="111"/>
      <c r="B186" s="111"/>
      <c r="C186" s="111"/>
      <c r="D186" s="112"/>
      <c r="E186" s="112"/>
      <c r="F186" s="112"/>
      <c r="G186" s="171"/>
      <c r="H186" s="171"/>
      <c r="I186" s="171"/>
      <c r="J186" s="119"/>
      <c r="K186" s="119"/>
      <c r="L186" s="119"/>
    </row>
    <row r="187" spans="1:12" ht="25" customHeight="1" x14ac:dyDescent="0.35">
      <c r="A187" s="111"/>
      <c r="B187" s="111"/>
      <c r="C187" s="111"/>
      <c r="D187" s="112"/>
      <c r="E187" s="112"/>
      <c r="F187" s="112"/>
      <c r="G187" s="171"/>
      <c r="H187" s="171"/>
      <c r="I187" s="171"/>
      <c r="J187" s="119"/>
      <c r="K187" s="119"/>
      <c r="L187" s="119"/>
    </row>
    <row r="188" spans="1:12" ht="25" customHeight="1" x14ac:dyDescent="0.35">
      <c r="A188" s="111"/>
      <c r="B188" s="111"/>
      <c r="C188" s="111"/>
      <c r="D188" s="112"/>
      <c r="E188" s="112"/>
      <c r="F188" s="112"/>
      <c r="G188" s="171"/>
      <c r="H188" s="171"/>
      <c r="I188" s="171"/>
      <c r="J188" s="119"/>
      <c r="K188" s="119"/>
      <c r="L188" s="119"/>
    </row>
    <row r="189" spans="1:12" ht="25" customHeight="1" x14ac:dyDescent="0.35">
      <c r="A189" s="111"/>
      <c r="B189" s="111"/>
      <c r="C189" s="111"/>
      <c r="D189" s="112"/>
      <c r="E189" s="112"/>
      <c r="F189" s="112"/>
      <c r="G189" s="117"/>
      <c r="H189" s="117"/>
      <c r="I189" s="117"/>
      <c r="J189" s="119"/>
      <c r="K189" s="119"/>
      <c r="L189" s="119"/>
    </row>
    <row r="190" spans="1:12" ht="25" customHeight="1" x14ac:dyDescent="0.35">
      <c r="A190" s="111"/>
      <c r="B190" s="111"/>
      <c r="C190" s="111"/>
      <c r="D190" s="112"/>
      <c r="E190" s="112"/>
      <c r="F190" s="112"/>
      <c r="G190" s="117"/>
      <c r="H190" s="117"/>
      <c r="I190" s="117"/>
      <c r="J190" s="119"/>
      <c r="K190" s="119"/>
      <c r="L190" s="119"/>
    </row>
    <row r="191" spans="1:12" ht="25" customHeight="1" x14ac:dyDescent="0.35">
      <c r="A191" s="111"/>
      <c r="B191" s="111"/>
      <c r="C191" s="111"/>
      <c r="D191" s="112"/>
      <c r="E191" s="112"/>
      <c r="F191" s="112"/>
      <c r="G191" s="117"/>
      <c r="H191" s="117"/>
      <c r="I191" s="117"/>
      <c r="J191" s="119"/>
      <c r="K191" s="119"/>
      <c r="L191" s="119"/>
    </row>
    <row r="192" spans="1:12" ht="25" customHeight="1" x14ac:dyDescent="0.35">
      <c r="A192" s="111"/>
      <c r="B192" s="111"/>
      <c r="C192" s="111"/>
      <c r="D192" s="112"/>
      <c r="E192" s="112"/>
      <c r="F192" s="112"/>
      <c r="G192" s="117"/>
      <c r="H192" s="117"/>
      <c r="I192" s="117"/>
      <c r="J192" s="119"/>
      <c r="K192" s="119"/>
      <c r="L192" s="119"/>
    </row>
    <row r="193" spans="1:12" ht="25" customHeight="1" x14ac:dyDescent="0.35">
      <c r="A193" s="111"/>
      <c r="B193" s="111"/>
      <c r="C193" s="111"/>
      <c r="D193" s="112"/>
      <c r="E193" s="112"/>
      <c r="F193" s="112"/>
      <c r="G193" s="117"/>
      <c r="H193" s="117"/>
      <c r="I193" s="117"/>
      <c r="J193" s="119"/>
      <c r="K193" s="119"/>
      <c r="L193" s="119"/>
    </row>
    <row r="194" spans="1:12" ht="25" customHeight="1" x14ac:dyDescent="0.35">
      <c r="A194" s="111"/>
      <c r="B194" s="111"/>
      <c r="C194" s="111"/>
      <c r="D194" s="112"/>
      <c r="E194" s="112"/>
      <c r="F194" s="112"/>
      <c r="G194" s="117"/>
      <c r="H194" s="117"/>
      <c r="I194" s="117"/>
      <c r="J194" s="119"/>
      <c r="K194" s="119"/>
      <c r="L194" s="119"/>
    </row>
    <row r="195" spans="1:12" ht="25" customHeight="1" x14ac:dyDescent="0.35">
      <c r="A195" s="111"/>
      <c r="B195" s="111"/>
      <c r="C195" s="111"/>
      <c r="D195" s="112"/>
      <c r="E195" s="112"/>
      <c r="F195" s="112"/>
      <c r="G195" s="117"/>
      <c r="H195" s="117"/>
      <c r="I195" s="117"/>
      <c r="J195" s="119"/>
      <c r="K195" s="119"/>
      <c r="L195" s="119"/>
    </row>
    <row r="196" spans="1:12" ht="25" customHeight="1" x14ac:dyDescent="0.35">
      <c r="A196" s="111"/>
      <c r="B196" s="111"/>
      <c r="C196" s="111"/>
      <c r="D196" s="112"/>
      <c r="E196" s="112"/>
      <c r="F196" s="112"/>
      <c r="G196" s="117"/>
      <c r="H196" s="117"/>
      <c r="I196" s="117"/>
      <c r="J196" s="119"/>
      <c r="K196" s="119"/>
      <c r="L196" s="119"/>
    </row>
    <row r="197" spans="1:12" ht="25" customHeight="1" x14ac:dyDescent="0.35">
      <c r="A197" s="111"/>
      <c r="B197" s="111"/>
      <c r="C197" s="111"/>
      <c r="D197" s="112"/>
      <c r="E197" s="112"/>
      <c r="F197" s="112"/>
      <c r="G197" s="117"/>
      <c r="H197" s="117"/>
      <c r="I197" s="117"/>
      <c r="J197" s="119"/>
      <c r="K197" s="119"/>
      <c r="L197" s="119"/>
    </row>
    <row r="198" spans="1:12" ht="25" customHeight="1" x14ac:dyDescent="0.35">
      <c r="A198" s="111"/>
      <c r="B198" s="111"/>
      <c r="C198" s="111"/>
      <c r="D198" s="112"/>
      <c r="E198" s="112"/>
      <c r="F198" s="112"/>
      <c r="G198" s="117"/>
      <c r="H198" s="117"/>
      <c r="I198" s="117"/>
      <c r="J198" s="119"/>
      <c r="K198" s="119"/>
      <c r="L198" s="119"/>
    </row>
    <row r="199" spans="1:12" ht="25" customHeight="1" x14ac:dyDescent="0.35">
      <c r="A199" s="111"/>
      <c r="B199" s="111"/>
      <c r="C199" s="111"/>
      <c r="D199" s="112"/>
      <c r="E199" s="112"/>
      <c r="F199" s="112"/>
      <c r="G199" s="117"/>
      <c r="H199" s="117"/>
      <c r="I199" s="117"/>
      <c r="J199" s="119"/>
      <c r="K199" s="119"/>
      <c r="L199" s="119"/>
    </row>
    <row r="200" spans="1:12" ht="25" customHeight="1" x14ac:dyDescent="0.35">
      <c r="A200" s="111"/>
      <c r="B200" s="111"/>
      <c r="C200" s="111"/>
      <c r="D200" s="112"/>
      <c r="E200" s="112"/>
      <c r="F200" s="112"/>
      <c r="G200" s="117"/>
      <c r="H200" s="117"/>
      <c r="I200" s="117"/>
      <c r="J200" s="119"/>
      <c r="K200" s="119"/>
      <c r="L200" s="119"/>
    </row>
  </sheetData>
  <mergeCells count="4">
    <mergeCell ref="A2:C2"/>
    <mergeCell ref="D2:F2"/>
    <mergeCell ref="G2:I2"/>
    <mergeCell ref="J2:K2"/>
  </mergeCell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2"/>
  <sheetViews>
    <sheetView topLeftCell="G6" workbookViewId="0">
      <selection activeCell="N17" sqref="N17"/>
    </sheetView>
  </sheetViews>
  <sheetFormatPr defaultColWidth="8.81640625" defaultRowHeight="14" x14ac:dyDescent="0.35"/>
  <cols>
    <col min="1" max="1" width="8.81640625" style="121"/>
    <col min="2" max="2" width="23.81640625" style="121" customWidth="1"/>
    <col min="3" max="8" width="18.6328125" style="121" customWidth="1"/>
    <col min="9" max="9" width="16.453125" style="121" customWidth="1"/>
    <col min="10" max="11" width="18.6328125" style="121" customWidth="1"/>
    <col min="12" max="12" width="20.453125" style="121" customWidth="1"/>
    <col min="13" max="13" width="18.6328125" style="121" customWidth="1"/>
    <col min="14" max="14" width="15.36328125" style="121" customWidth="1"/>
    <col min="15" max="16384" width="8.81640625" style="121"/>
  </cols>
  <sheetData>
    <row r="1" spans="1:14" s="278" customFormat="1" x14ac:dyDescent="0.35">
      <c r="M1" s="278">
        <v>20000</v>
      </c>
    </row>
    <row r="2" spans="1:14" s="278" customFormat="1" x14ac:dyDescent="0.35">
      <c r="M2" s="278">
        <v>25000</v>
      </c>
    </row>
    <row r="3" spans="1:14" x14ac:dyDescent="0.35">
      <c r="M3" s="121">
        <v>35000</v>
      </c>
      <c r="N3" s="440">
        <v>0.02</v>
      </c>
    </row>
    <row r="4" spans="1:14" ht="29" customHeight="1" x14ac:dyDescent="0.35">
      <c r="A4" s="467" t="s">
        <v>111</v>
      </c>
      <c r="B4" s="518"/>
      <c r="C4" s="468"/>
      <c r="D4" s="527" t="s">
        <v>110</v>
      </c>
      <c r="E4" s="528"/>
      <c r="F4" s="529"/>
      <c r="G4" s="535" t="s">
        <v>109</v>
      </c>
      <c r="H4" s="536"/>
      <c r="I4" s="536"/>
      <c r="J4" s="521" t="s">
        <v>108</v>
      </c>
      <c r="K4" s="532"/>
      <c r="L4" s="157"/>
    </row>
    <row r="5" spans="1:14" s="173" customFormat="1" ht="42" x14ac:dyDescent="0.35">
      <c r="A5" s="149" t="s">
        <v>20</v>
      </c>
      <c r="B5" s="149" t="s">
        <v>218</v>
      </c>
      <c r="C5" s="149" t="s">
        <v>121</v>
      </c>
      <c r="D5" s="153" t="s">
        <v>11</v>
      </c>
      <c r="E5" s="153" t="s">
        <v>122</v>
      </c>
      <c r="F5" s="153" t="s">
        <v>211</v>
      </c>
      <c r="G5" s="176" t="s">
        <v>219</v>
      </c>
      <c r="H5" s="176" t="s">
        <v>220</v>
      </c>
      <c r="I5" s="176" t="s">
        <v>221</v>
      </c>
      <c r="J5" s="152" t="s">
        <v>222</v>
      </c>
      <c r="K5" s="152" t="s">
        <v>223</v>
      </c>
      <c r="L5" s="152" t="s">
        <v>156</v>
      </c>
      <c r="M5" s="173" t="s">
        <v>2690</v>
      </c>
      <c r="N5" s="173" t="s">
        <v>2694</v>
      </c>
    </row>
    <row r="6" spans="1:14" ht="25" customHeight="1" x14ac:dyDescent="0.35">
      <c r="A6" s="111">
        <v>1</v>
      </c>
      <c r="B6" s="111" t="s">
        <v>2101</v>
      </c>
      <c r="C6" s="111" t="s">
        <v>2042</v>
      </c>
      <c r="D6" s="112">
        <v>2011</v>
      </c>
      <c r="E6" s="112"/>
      <c r="F6" s="112"/>
      <c r="G6" s="177" t="s">
        <v>2100</v>
      </c>
      <c r="H6" s="177">
        <v>3</v>
      </c>
      <c r="I6" s="177" t="s">
        <v>2190</v>
      </c>
      <c r="J6" s="154">
        <v>5</v>
      </c>
      <c r="K6" s="154">
        <v>5</v>
      </c>
      <c r="L6" s="154">
        <v>5</v>
      </c>
      <c r="M6" s="449">
        <f>M$1*H6</f>
        <v>60000</v>
      </c>
      <c r="N6" s="451">
        <f>N$3*M6</f>
        <v>1200</v>
      </c>
    </row>
    <row r="7" spans="1:14" ht="25" customHeight="1" x14ac:dyDescent="0.35">
      <c r="A7" s="111">
        <v>2</v>
      </c>
      <c r="B7" s="111" t="s">
        <v>2106</v>
      </c>
      <c r="C7" s="111" t="s">
        <v>2042</v>
      </c>
      <c r="D7" s="112">
        <v>1997</v>
      </c>
      <c r="E7" s="112"/>
      <c r="F7" s="112"/>
      <c r="G7" s="177" t="s">
        <v>2105</v>
      </c>
      <c r="H7" s="177">
        <v>3</v>
      </c>
      <c r="I7" s="177" t="s">
        <v>2190</v>
      </c>
      <c r="J7" s="154">
        <v>4</v>
      </c>
      <c r="K7" s="154">
        <v>4</v>
      </c>
      <c r="L7" s="154">
        <v>5</v>
      </c>
      <c r="M7" s="449">
        <f>M$2*H7</f>
        <v>75000</v>
      </c>
      <c r="N7" s="451">
        <f t="shared" ref="N7:N14" si="0">N$3*M7</f>
        <v>1500</v>
      </c>
    </row>
    <row r="8" spans="1:14" ht="25" customHeight="1" x14ac:dyDescent="0.35">
      <c r="A8" s="111">
        <v>3</v>
      </c>
      <c r="B8" s="111" t="s">
        <v>2191</v>
      </c>
      <c r="C8" s="111" t="s">
        <v>2042</v>
      </c>
      <c r="D8" s="112">
        <v>1994</v>
      </c>
      <c r="E8" s="112"/>
      <c r="F8" s="112"/>
      <c r="G8" s="177" t="s">
        <v>2105</v>
      </c>
      <c r="H8" s="177">
        <v>8</v>
      </c>
      <c r="I8" s="177" t="s">
        <v>2190</v>
      </c>
      <c r="J8" s="154">
        <v>3</v>
      </c>
      <c r="K8" s="154">
        <v>3</v>
      </c>
      <c r="L8" s="154">
        <v>4</v>
      </c>
      <c r="M8" s="449">
        <f t="shared" ref="M8:M11" si="1">M$2*H8</f>
        <v>200000</v>
      </c>
      <c r="N8" s="451">
        <f t="shared" si="0"/>
        <v>4000</v>
      </c>
    </row>
    <row r="9" spans="1:14" ht="25" customHeight="1" x14ac:dyDescent="0.35">
      <c r="A9" s="111">
        <v>4</v>
      </c>
      <c r="B9" s="111" t="s">
        <v>2191</v>
      </c>
      <c r="C9" s="111" t="s">
        <v>383</v>
      </c>
      <c r="D9" s="112">
        <v>1986</v>
      </c>
      <c r="E9" s="112"/>
      <c r="F9" s="112"/>
      <c r="G9" s="177" t="s">
        <v>2105</v>
      </c>
      <c r="H9" s="177">
        <v>2</v>
      </c>
      <c r="I9" s="177" t="s">
        <v>2190</v>
      </c>
      <c r="J9" s="154">
        <v>4</v>
      </c>
      <c r="K9" s="154">
        <v>4</v>
      </c>
      <c r="L9" s="154">
        <v>5</v>
      </c>
      <c r="M9" s="449">
        <f t="shared" si="1"/>
        <v>50000</v>
      </c>
      <c r="N9" s="451">
        <f t="shared" si="0"/>
        <v>1000</v>
      </c>
    </row>
    <row r="10" spans="1:14" ht="25" customHeight="1" x14ac:dyDescent="0.35">
      <c r="A10" s="111">
        <v>5</v>
      </c>
      <c r="B10" s="111" t="s">
        <v>2191</v>
      </c>
      <c r="C10" s="111" t="s">
        <v>1694</v>
      </c>
      <c r="D10" s="112">
        <v>2013</v>
      </c>
      <c r="E10" s="112"/>
      <c r="F10" s="112"/>
      <c r="G10" s="177" t="s">
        <v>2105</v>
      </c>
      <c r="H10" s="177">
        <v>9</v>
      </c>
      <c r="I10" s="177" t="s">
        <v>2190</v>
      </c>
      <c r="J10" s="154">
        <v>5</v>
      </c>
      <c r="K10" s="154">
        <v>5</v>
      </c>
      <c r="L10" s="154">
        <v>5</v>
      </c>
      <c r="M10" s="449">
        <f t="shared" si="1"/>
        <v>225000</v>
      </c>
      <c r="N10" s="451">
        <f t="shared" si="0"/>
        <v>4500</v>
      </c>
    </row>
    <row r="11" spans="1:14" ht="25" customHeight="1" x14ac:dyDescent="0.35">
      <c r="A11" s="111">
        <v>6</v>
      </c>
      <c r="B11" s="111" t="s">
        <v>2106</v>
      </c>
      <c r="C11" s="111" t="s">
        <v>1694</v>
      </c>
      <c r="D11" s="112">
        <v>2013</v>
      </c>
      <c r="E11" s="112"/>
      <c r="F11" s="112"/>
      <c r="G11" s="177" t="s">
        <v>2105</v>
      </c>
      <c r="H11" s="177">
        <v>3</v>
      </c>
      <c r="I11" s="177" t="s">
        <v>2190</v>
      </c>
      <c r="J11" s="154">
        <v>5</v>
      </c>
      <c r="K11" s="154">
        <v>5</v>
      </c>
      <c r="L11" s="154">
        <v>5</v>
      </c>
      <c r="M11" s="449">
        <f t="shared" si="1"/>
        <v>75000</v>
      </c>
      <c r="N11" s="451">
        <f t="shared" si="0"/>
        <v>1500</v>
      </c>
    </row>
    <row r="12" spans="1:14" ht="25" customHeight="1" x14ac:dyDescent="0.35">
      <c r="A12" s="111">
        <v>7</v>
      </c>
      <c r="B12" s="111" t="s">
        <v>2191</v>
      </c>
      <c r="C12" s="111" t="s">
        <v>1694</v>
      </c>
      <c r="D12" s="112">
        <v>1986</v>
      </c>
      <c r="E12" s="112"/>
      <c r="F12" s="112"/>
      <c r="G12" s="177" t="s">
        <v>2192</v>
      </c>
      <c r="H12" s="177">
        <v>4</v>
      </c>
      <c r="I12" s="177" t="s">
        <v>2193</v>
      </c>
      <c r="J12" s="154">
        <v>2</v>
      </c>
      <c r="K12" s="154">
        <v>2</v>
      </c>
      <c r="L12" s="154">
        <v>3</v>
      </c>
      <c r="M12" s="449">
        <f>M$3*H12</f>
        <v>140000</v>
      </c>
      <c r="N12" s="451">
        <f t="shared" si="0"/>
        <v>2800</v>
      </c>
    </row>
    <row r="13" spans="1:14" ht="25" customHeight="1" x14ac:dyDescent="0.35">
      <c r="A13" s="111">
        <v>8</v>
      </c>
      <c r="B13" s="111" t="s">
        <v>2191</v>
      </c>
      <c r="C13" s="111" t="s">
        <v>2042</v>
      </c>
      <c r="D13" s="112">
        <v>1994</v>
      </c>
      <c r="E13" s="112"/>
      <c r="F13" s="112"/>
      <c r="G13" s="177" t="s">
        <v>2192</v>
      </c>
      <c r="H13" s="177">
        <v>1</v>
      </c>
      <c r="I13" s="177" t="s">
        <v>2190</v>
      </c>
      <c r="J13" s="154">
        <v>2</v>
      </c>
      <c r="K13" s="154">
        <v>3</v>
      </c>
      <c r="L13" s="154">
        <v>4</v>
      </c>
      <c r="M13" s="449">
        <f t="shared" ref="M13:M14" si="2">M$3*H13</f>
        <v>35000</v>
      </c>
      <c r="N13" s="451">
        <f t="shared" si="0"/>
        <v>700</v>
      </c>
    </row>
    <row r="14" spans="1:14" ht="25" customHeight="1" x14ac:dyDescent="0.35">
      <c r="A14" s="111">
        <v>9</v>
      </c>
      <c r="B14" s="111" t="s">
        <v>2191</v>
      </c>
      <c r="C14" s="111" t="s">
        <v>383</v>
      </c>
      <c r="D14" s="112">
        <v>1986</v>
      </c>
      <c r="E14" s="112"/>
      <c r="F14" s="112"/>
      <c r="G14" s="177" t="s">
        <v>2192</v>
      </c>
      <c r="H14" s="177">
        <v>1</v>
      </c>
      <c r="I14" s="177" t="s">
        <v>2193</v>
      </c>
      <c r="J14" s="154">
        <v>2</v>
      </c>
      <c r="K14" s="154">
        <v>3</v>
      </c>
      <c r="L14" s="154">
        <v>4</v>
      </c>
      <c r="M14" s="449">
        <f t="shared" si="2"/>
        <v>35000</v>
      </c>
      <c r="N14" s="451">
        <f t="shared" si="0"/>
        <v>700</v>
      </c>
    </row>
    <row r="15" spans="1:14" ht="25" customHeight="1" x14ac:dyDescent="0.35">
      <c r="A15" s="111"/>
      <c r="B15" s="111"/>
      <c r="C15" s="111"/>
      <c r="D15" s="112"/>
      <c r="E15" s="112"/>
      <c r="F15" s="112"/>
      <c r="G15" s="177"/>
      <c r="H15" s="177"/>
      <c r="I15" s="177"/>
      <c r="J15" s="154"/>
      <c r="K15" s="154"/>
      <c r="L15" s="154"/>
    </row>
    <row r="16" spans="1:14" ht="25" customHeight="1" x14ac:dyDescent="0.35">
      <c r="A16" s="111"/>
      <c r="B16" s="111"/>
      <c r="C16" s="111"/>
      <c r="D16" s="112"/>
      <c r="E16" s="112"/>
      <c r="F16" s="112"/>
      <c r="G16" s="177"/>
      <c r="H16" s="177"/>
      <c r="I16" s="177"/>
      <c r="J16" s="154"/>
      <c r="K16" s="154"/>
      <c r="L16" s="154"/>
      <c r="M16" s="451">
        <f>SUM(M6:M14)</f>
        <v>895000</v>
      </c>
      <c r="N16" s="451">
        <f>SUM(N6:N14)</f>
        <v>17900</v>
      </c>
    </row>
    <row r="17" spans="1:12" ht="25" customHeight="1" x14ac:dyDescent="0.35">
      <c r="A17" s="111"/>
      <c r="B17" s="111"/>
      <c r="C17" s="111"/>
      <c r="D17" s="112"/>
      <c r="E17" s="112"/>
      <c r="F17" s="112"/>
      <c r="G17" s="177"/>
      <c r="H17" s="177"/>
      <c r="I17" s="177"/>
      <c r="J17" s="154"/>
      <c r="K17" s="154"/>
      <c r="L17" s="154"/>
    </row>
    <row r="18" spans="1:12" ht="25" customHeight="1" x14ac:dyDescent="0.35">
      <c r="A18" s="111"/>
      <c r="B18" s="111"/>
      <c r="C18" s="111"/>
      <c r="D18" s="112"/>
      <c r="E18" s="112"/>
      <c r="F18" s="112"/>
      <c r="G18" s="177"/>
      <c r="H18" s="177"/>
      <c r="I18" s="177"/>
      <c r="J18" s="154"/>
      <c r="K18" s="154"/>
      <c r="L18" s="154"/>
    </row>
    <row r="19" spans="1:12" ht="25" customHeight="1" x14ac:dyDescent="0.35">
      <c r="A19" s="111"/>
      <c r="B19" s="111"/>
      <c r="C19" s="111"/>
      <c r="D19" s="112"/>
      <c r="E19" s="112"/>
      <c r="F19" s="112"/>
      <c r="G19" s="177"/>
      <c r="H19" s="177"/>
      <c r="I19" s="177"/>
      <c r="J19" s="154"/>
      <c r="K19" s="154"/>
      <c r="L19" s="154"/>
    </row>
    <row r="20" spans="1:12" ht="25" customHeight="1" x14ac:dyDescent="0.35">
      <c r="A20" s="111"/>
      <c r="B20" s="111"/>
      <c r="C20" s="111"/>
      <c r="D20" s="112"/>
      <c r="E20" s="112"/>
      <c r="F20" s="112"/>
      <c r="G20" s="177"/>
      <c r="H20" s="177"/>
      <c r="I20" s="177"/>
      <c r="J20" s="154"/>
      <c r="K20" s="154"/>
      <c r="L20" s="154"/>
    </row>
    <row r="21" spans="1:12" ht="25" customHeight="1" x14ac:dyDescent="0.35">
      <c r="A21" s="111"/>
      <c r="B21" s="111"/>
      <c r="C21" s="111"/>
      <c r="D21" s="112"/>
      <c r="E21" s="112"/>
      <c r="F21" s="112"/>
      <c r="G21" s="177"/>
      <c r="H21" s="177"/>
      <c r="I21" s="177"/>
      <c r="J21" s="154"/>
      <c r="K21" s="154"/>
      <c r="L21" s="154"/>
    </row>
    <row r="22" spans="1:12" ht="25" customHeight="1" x14ac:dyDescent="0.35">
      <c r="A22" s="111"/>
      <c r="B22" s="111"/>
      <c r="C22" s="111"/>
      <c r="D22" s="112"/>
      <c r="E22" s="112"/>
      <c r="F22" s="112"/>
      <c r="G22" s="177"/>
      <c r="H22" s="177"/>
      <c r="I22" s="177"/>
      <c r="J22" s="154"/>
      <c r="K22" s="154"/>
      <c r="L22" s="154"/>
    </row>
    <row r="23" spans="1:12" ht="25" customHeight="1" x14ac:dyDescent="0.35">
      <c r="A23" s="111"/>
      <c r="B23" s="111"/>
      <c r="C23" s="111"/>
      <c r="D23" s="112"/>
      <c r="E23" s="112"/>
      <c r="F23" s="112"/>
      <c r="G23" s="177"/>
      <c r="H23" s="177"/>
      <c r="I23" s="177"/>
      <c r="J23" s="154"/>
      <c r="K23" s="154"/>
      <c r="L23" s="154"/>
    </row>
    <row r="24" spans="1:12" ht="25" customHeight="1" x14ac:dyDescent="0.35">
      <c r="A24" s="111"/>
      <c r="B24" s="111"/>
      <c r="C24" s="111"/>
      <c r="D24" s="112"/>
      <c r="E24" s="112"/>
      <c r="F24" s="112"/>
      <c r="G24" s="177"/>
      <c r="H24" s="177"/>
      <c r="I24" s="177"/>
      <c r="J24" s="154"/>
      <c r="K24" s="154"/>
      <c r="L24" s="154"/>
    </row>
    <row r="25" spans="1:12" ht="25" customHeight="1" x14ac:dyDescent="0.35">
      <c r="A25" s="111"/>
      <c r="B25" s="111"/>
      <c r="C25" s="111"/>
      <c r="D25" s="112"/>
      <c r="E25" s="112"/>
      <c r="F25" s="112"/>
      <c r="G25" s="177"/>
      <c r="H25" s="177"/>
      <c r="I25" s="177"/>
      <c r="J25" s="154"/>
      <c r="K25" s="154"/>
      <c r="L25" s="154"/>
    </row>
    <row r="26" spans="1:12" ht="25" customHeight="1" x14ac:dyDescent="0.35">
      <c r="A26" s="111"/>
      <c r="B26" s="111"/>
      <c r="C26" s="111"/>
      <c r="D26" s="112"/>
      <c r="E26" s="112"/>
      <c r="F26" s="112"/>
      <c r="G26" s="177"/>
      <c r="H26" s="177"/>
      <c r="I26" s="177"/>
      <c r="J26" s="154"/>
      <c r="K26" s="154"/>
      <c r="L26" s="154"/>
    </row>
    <row r="27" spans="1:12" ht="25" customHeight="1" x14ac:dyDescent="0.35">
      <c r="A27" s="111"/>
      <c r="B27" s="111"/>
      <c r="C27" s="111"/>
      <c r="D27" s="112"/>
      <c r="E27" s="112"/>
      <c r="F27" s="112"/>
      <c r="G27" s="177"/>
      <c r="H27" s="177"/>
      <c r="I27" s="177"/>
      <c r="J27" s="154"/>
      <c r="K27" s="154"/>
      <c r="L27" s="154"/>
    </row>
    <row r="28" spans="1:12" ht="25" customHeight="1" x14ac:dyDescent="0.35">
      <c r="A28" s="111"/>
      <c r="B28" s="111"/>
      <c r="C28" s="111"/>
      <c r="D28" s="112"/>
      <c r="E28" s="112"/>
      <c r="F28" s="112"/>
      <c r="G28" s="177"/>
      <c r="H28" s="177"/>
      <c r="I28" s="177"/>
      <c r="J28" s="154"/>
      <c r="K28" s="154"/>
      <c r="L28" s="154"/>
    </row>
    <row r="29" spans="1:12" ht="25" customHeight="1" x14ac:dyDescent="0.35">
      <c r="A29" s="111"/>
      <c r="B29" s="111"/>
      <c r="C29" s="111"/>
      <c r="D29" s="112"/>
      <c r="E29" s="112"/>
      <c r="F29" s="112"/>
      <c r="G29" s="177"/>
      <c r="H29" s="177"/>
      <c r="I29" s="177"/>
      <c r="J29" s="154"/>
      <c r="K29" s="154"/>
      <c r="L29" s="154"/>
    </row>
    <row r="30" spans="1:12" ht="25" customHeight="1" x14ac:dyDescent="0.35">
      <c r="A30" s="111"/>
      <c r="B30" s="111"/>
      <c r="C30" s="111"/>
      <c r="D30" s="112"/>
      <c r="E30" s="112"/>
      <c r="F30" s="112"/>
      <c r="G30" s="177"/>
      <c r="H30" s="177"/>
      <c r="I30" s="177"/>
      <c r="J30" s="154"/>
      <c r="K30" s="154"/>
      <c r="L30" s="154"/>
    </row>
    <row r="31" spans="1:12" ht="25" customHeight="1" x14ac:dyDescent="0.35">
      <c r="A31" s="111"/>
      <c r="B31" s="111"/>
      <c r="C31" s="111"/>
      <c r="D31" s="112"/>
      <c r="E31" s="112"/>
      <c r="F31" s="112"/>
      <c r="G31" s="177"/>
      <c r="H31" s="177"/>
      <c r="I31" s="177"/>
      <c r="J31" s="154"/>
      <c r="K31" s="154"/>
      <c r="L31" s="154"/>
    </row>
    <row r="32" spans="1:12" ht="25" customHeight="1" x14ac:dyDescent="0.35">
      <c r="A32" s="111"/>
      <c r="B32" s="111"/>
      <c r="C32" s="111"/>
      <c r="D32" s="112"/>
      <c r="E32" s="112"/>
      <c r="F32" s="112"/>
      <c r="G32" s="177"/>
      <c r="H32" s="177"/>
      <c r="I32" s="177"/>
      <c r="J32" s="154"/>
      <c r="K32" s="154"/>
      <c r="L32" s="154"/>
    </row>
    <row r="33" spans="1:12" ht="25" customHeight="1" x14ac:dyDescent="0.35">
      <c r="A33" s="111"/>
      <c r="B33" s="111"/>
      <c r="C33" s="111"/>
      <c r="D33" s="112"/>
      <c r="E33" s="112"/>
      <c r="F33" s="112"/>
      <c r="G33" s="177"/>
      <c r="H33" s="177"/>
      <c r="I33" s="177"/>
      <c r="J33" s="154"/>
      <c r="K33" s="154"/>
      <c r="L33" s="154"/>
    </row>
    <row r="34" spans="1:12" ht="25" customHeight="1" x14ac:dyDescent="0.35">
      <c r="A34" s="111"/>
      <c r="B34" s="111"/>
      <c r="C34" s="111"/>
      <c r="D34" s="112"/>
      <c r="E34" s="112"/>
      <c r="F34" s="112"/>
      <c r="G34" s="177"/>
      <c r="H34" s="177"/>
      <c r="I34" s="177"/>
      <c r="J34" s="154"/>
      <c r="K34" s="154"/>
      <c r="L34" s="154"/>
    </row>
    <row r="35" spans="1:12" ht="25" customHeight="1" x14ac:dyDescent="0.35">
      <c r="A35" s="111"/>
      <c r="B35" s="111"/>
      <c r="C35" s="111"/>
      <c r="D35" s="112"/>
      <c r="E35" s="112"/>
      <c r="F35" s="112"/>
      <c r="G35" s="177"/>
      <c r="H35" s="177"/>
      <c r="I35" s="177"/>
      <c r="J35" s="154"/>
      <c r="K35" s="154"/>
      <c r="L35" s="154"/>
    </row>
    <row r="36" spans="1:12" ht="25" customHeight="1" x14ac:dyDescent="0.35">
      <c r="A36" s="111"/>
      <c r="B36" s="111"/>
      <c r="C36" s="111"/>
      <c r="D36" s="112"/>
      <c r="E36" s="112"/>
      <c r="F36" s="112"/>
      <c r="G36" s="177"/>
      <c r="H36" s="177"/>
      <c r="I36" s="177"/>
      <c r="J36" s="154"/>
      <c r="K36" s="154"/>
      <c r="L36" s="154"/>
    </row>
    <row r="37" spans="1:12" ht="25" customHeight="1" x14ac:dyDescent="0.35">
      <c r="A37" s="111"/>
      <c r="B37" s="111"/>
      <c r="C37" s="111"/>
      <c r="D37" s="112"/>
      <c r="E37" s="112"/>
      <c r="F37" s="112"/>
      <c r="G37" s="177"/>
      <c r="H37" s="177"/>
      <c r="I37" s="177"/>
      <c r="J37" s="154"/>
      <c r="K37" s="154"/>
      <c r="L37" s="154"/>
    </row>
    <row r="38" spans="1:12" ht="25" customHeight="1" x14ac:dyDescent="0.35">
      <c r="A38" s="111"/>
      <c r="B38" s="111"/>
      <c r="C38" s="111"/>
      <c r="D38" s="112"/>
      <c r="E38" s="112"/>
      <c r="F38" s="112"/>
      <c r="G38" s="177"/>
      <c r="H38" s="177"/>
      <c r="I38" s="177"/>
      <c r="J38" s="154"/>
      <c r="K38" s="154"/>
      <c r="L38" s="154"/>
    </row>
    <row r="39" spans="1:12" ht="25" customHeight="1" x14ac:dyDescent="0.35">
      <c r="A39" s="111"/>
      <c r="B39" s="111"/>
      <c r="C39" s="111"/>
      <c r="D39" s="112"/>
      <c r="E39" s="112"/>
      <c r="F39" s="112"/>
      <c r="G39" s="177"/>
      <c r="H39" s="177"/>
      <c r="I39" s="177"/>
      <c r="J39" s="154"/>
      <c r="K39" s="154"/>
      <c r="L39" s="154"/>
    </row>
    <row r="40" spans="1:12" ht="25" customHeight="1" x14ac:dyDescent="0.35">
      <c r="A40" s="111"/>
      <c r="B40" s="111"/>
      <c r="C40" s="111"/>
      <c r="D40" s="112"/>
      <c r="E40" s="112"/>
      <c r="F40" s="112"/>
      <c r="G40" s="177"/>
      <c r="H40" s="177"/>
      <c r="I40" s="177"/>
      <c r="J40" s="154"/>
      <c r="K40" s="154"/>
      <c r="L40" s="154"/>
    </row>
    <row r="41" spans="1:12" ht="25" customHeight="1" x14ac:dyDescent="0.35">
      <c r="A41" s="111"/>
      <c r="B41" s="111"/>
      <c r="C41" s="111"/>
      <c r="D41" s="112"/>
      <c r="E41" s="112"/>
      <c r="F41" s="112"/>
      <c r="G41" s="177"/>
      <c r="H41" s="177"/>
      <c r="I41" s="177"/>
      <c r="J41" s="154"/>
      <c r="K41" s="154"/>
      <c r="L41" s="154"/>
    </row>
    <row r="42" spans="1:12" ht="25" customHeight="1" x14ac:dyDescent="0.35">
      <c r="A42" s="111"/>
      <c r="B42" s="111"/>
      <c r="C42" s="111"/>
      <c r="D42" s="112"/>
      <c r="E42" s="112"/>
      <c r="F42" s="112"/>
      <c r="G42" s="177"/>
      <c r="H42" s="177"/>
      <c r="I42" s="177"/>
      <c r="J42" s="154"/>
      <c r="K42" s="154"/>
      <c r="L42" s="154"/>
    </row>
    <row r="43" spans="1:12" ht="25" customHeight="1" x14ac:dyDescent="0.35">
      <c r="A43" s="111"/>
      <c r="B43" s="111"/>
      <c r="C43" s="111"/>
      <c r="D43" s="112"/>
      <c r="E43" s="112"/>
      <c r="F43" s="112"/>
      <c r="G43" s="177"/>
      <c r="H43" s="177"/>
      <c r="I43" s="177"/>
      <c r="J43" s="119"/>
      <c r="K43" s="119"/>
      <c r="L43" s="119"/>
    </row>
    <row r="44" spans="1:12" ht="25" customHeight="1" x14ac:dyDescent="0.35">
      <c r="A44" s="111"/>
      <c r="B44" s="111"/>
      <c r="C44" s="111"/>
      <c r="D44" s="112"/>
      <c r="E44" s="112"/>
      <c r="F44" s="112"/>
      <c r="G44" s="177"/>
      <c r="H44" s="177"/>
      <c r="I44" s="177"/>
      <c r="J44" s="119"/>
      <c r="K44" s="119"/>
      <c r="L44" s="119"/>
    </row>
    <row r="45" spans="1:12" ht="25" customHeight="1" x14ac:dyDescent="0.35">
      <c r="A45" s="111"/>
      <c r="B45" s="111"/>
      <c r="C45" s="111"/>
      <c r="D45" s="112"/>
      <c r="E45" s="112"/>
      <c r="F45" s="112"/>
      <c r="G45" s="177"/>
      <c r="H45" s="177"/>
      <c r="I45" s="177"/>
      <c r="J45" s="119"/>
      <c r="K45" s="119"/>
      <c r="L45" s="119"/>
    </row>
    <row r="46" spans="1:12" ht="25" customHeight="1" x14ac:dyDescent="0.35">
      <c r="A46" s="111"/>
      <c r="B46" s="111"/>
      <c r="C46" s="111"/>
      <c r="D46" s="112"/>
      <c r="E46" s="112"/>
      <c r="F46" s="112"/>
      <c r="G46" s="177"/>
      <c r="H46" s="177"/>
      <c r="I46" s="177"/>
      <c r="J46" s="119"/>
      <c r="K46" s="119"/>
      <c r="L46" s="119"/>
    </row>
    <row r="47" spans="1:12" ht="25" customHeight="1" x14ac:dyDescent="0.35">
      <c r="A47" s="111"/>
      <c r="B47" s="111"/>
      <c r="C47" s="111"/>
      <c r="D47" s="112"/>
      <c r="E47" s="112"/>
      <c r="F47" s="112"/>
      <c r="G47" s="177"/>
      <c r="H47" s="177"/>
      <c r="I47" s="177"/>
      <c r="J47" s="119"/>
      <c r="K47" s="119"/>
      <c r="L47" s="119"/>
    </row>
    <row r="48" spans="1:12" ht="25" customHeight="1" x14ac:dyDescent="0.35">
      <c r="A48" s="111"/>
      <c r="B48" s="111"/>
      <c r="C48" s="111"/>
      <c r="D48" s="112"/>
      <c r="E48" s="112"/>
      <c r="F48" s="112"/>
      <c r="G48" s="177"/>
      <c r="H48" s="177"/>
      <c r="I48" s="177"/>
      <c r="J48" s="119"/>
      <c r="K48" s="119"/>
      <c r="L48" s="119"/>
    </row>
    <row r="49" spans="1:12" ht="25" customHeight="1" x14ac:dyDescent="0.35">
      <c r="A49" s="111"/>
      <c r="B49" s="111"/>
      <c r="C49" s="111"/>
      <c r="D49" s="112"/>
      <c r="E49" s="112"/>
      <c r="F49" s="112"/>
      <c r="G49" s="177"/>
      <c r="H49" s="177"/>
      <c r="I49" s="177"/>
      <c r="J49" s="119"/>
      <c r="K49" s="119"/>
      <c r="L49" s="119"/>
    </row>
    <row r="50" spans="1:12" ht="25" customHeight="1" x14ac:dyDescent="0.35">
      <c r="A50" s="111"/>
      <c r="B50" s="111"/>
      <c r="C50" s="111"/>
      <c r="D50" s="112"/>
      <c r="E50" s="112"/>
      <c r="F50" s="112"/>
      <c r="G50" s="177"/>
      <c r="H50" s="177"/>
      <c r="I50" s="177"/>
      <c r="J50" s="119"/>
      <c r="K50" s="119"/>
      <c r="L50" s="119"/>
    </row>
    <row r="51" spans="1:12" ht="25" customHeight="1" x14ac:dyDescent="0.35">
      <c r="A51" s="111"/>
      <c r="B51" s="111"/>
      <c r="C51" s="111"/>
      <c r="D51" s="112"/>
      <c r="E51" s="112"/>
      <c r="F51" s="112"/>
      <c r="G51" s="177"/>
      <c r="H51" s="177"/>
      <c r="I51" s="177"/>
      <c r="J51" s="119"/>
      <c r="K51" s="119"/>
      <c r="L51" s="119"/>
    </row>
    <row r="52" spans="1:12" ht="25" customHeight="1" x14ac:dyDescent="0.35">
      <c r="A52" s="111"/>
      <c r="B52" s="111"/>
      <c r="C52" s="111"/>
      <c r="D52" s="112"/>
      <c r="E52" s="112"/>
      <c r="F52" s="112"/>
      <c r="G52" s="177"/>
      <c r="H52" s="177"/>
      <c r="I52" s="177"/>
      <c r="J52" s="119"/>
      <c r="K52" s="119"/>
      <c r="L52" s="119"/>
    </row>
    <row r="53" spans="1:12" ht="25" customHeight="1" x14ac:dyDescent="0.35">
      <c r="A53" s="111"/>
      <c r="B53" s="111"/>
      <c r="C53" s="111"/>
      <c r="D53" s="112"/>
      <c r="E53" s="112"/>
      <c r="F53" s="112"/>
      <c r="G53" s="177"/>
      <c r="H53" s="177"/>
      <c r="I53" s="177"/>
      <c r="J53" s="119"/>
      <c r="K53" s="119"/>
      <c r="L53" s="119"/>
    </row>
    <row r="54" spans="1:12" ht="25" customHeight="1" x14ac:dyDescent="0.35">
      <c r="A54" s="111"/>
      <c r="B54" s="111"/>
      <c r="C54" s="111"/>
      <c r="D54" s="112"/>
      <c r="E54" s="112"/>
      <c r="F54" s="112"/>
      <c r="G54" s="177"/>
      <c r="H54" s="177"/>
      <c r="I54" s="177"/>
      <c r="J54" s="119"/>
      <c r="K54" s="119"/>
      <c r="L54" s="119"/>
    </row>
    <row r="55" spans="1:12" ht="25" customHeight="1" x14ac:dyDescent="0.35">
      <c r="A55" s="111"/>
      <c r="B55" s="111"/>
      <c r="C55" s="111"/>
      <c r="D55" s="112"/>
      <c r="E55" s="112"/>
      <c r="F55" s="112"/>
      <c r="G55" s="177"/>
      <c r="H55" s="177"/>
      <c r="I55" s="177"/>
      <c r="J55" s="119"/>
      <c r="K55" s="119"/>
      <c r="L55" s="119"/>
    </row>
    <row r="56" spans="1:12" ht="25" customHeight="1" x14ac:dyDescent="0.35">
      <c r="A56" s="111"/>
      <c r="B56" s="111"/>
      <c r="C56" s="111"/>
      <c r="D56" s="112"/>
      <c r="E56" s="112"/>
      <c r="F56" s="112"/>
      <c r="G56" s="177"/>
      <c r="H56" s="177"/>
      <c r="I56" s="177"/>
      <c r="J56" s="119"/>
      <c r="K56" s="119"/>
      <c r="L56" s="119"/>
    </row>
    <row r="57" spans="1:12" ht="25" customHeight="1" x14ac:dyDescent="0.35">
      <c r="A57" s="111"/>
      <c r="B57" s="111"/>
      <c r="C57" s="111"/>
      <c r="D57" s="112"/>
      <c r="E57" s="112"/>
      <c r="F57" s="112"/>
      <c r="G57" s="177"/>
      <c r="H57" s="177"/>
      <c r="I57" s="177"/>
      <c r="J57" s="119"/>
      <c r="K57" s="119"/>
      <c r="L57" s="119"/>
    </row>
    <row r="58" spans="1:12" ht="25" customHeight="1" x14ac:dyDescent="0.35">
      <c r="A58" s="111"/>
      <c r="B58" s="111"/>
      <c r="C58" s="111"/>
      <c r="D58" s="112"/>
      <c r="E58" s="112"/>
      <c r="F58" s="112"/>
      <c r="G58" s="177"/>
      <c r="H58" s="177"/>
      <c r="I58" s="177"/>
      <c r="J58" s="119"/>
      <c r="K58" s="119"/>
      <c r="L58" s="119"/>
    </row>
    <row r="59" spans="1:12" ht="25" customHeight="1" x14ac:dyDescent="0.35">
      <c r="A59" s="111"/>
      <c r="B59" s="111"/>
      <c r="C59" s="111"/>
      <c r="D59" s="112"/>
      <c r="E59" s="112"/>
      <c r="F59" s="112"/>
      <c r="G59" s="177"/>
      <c r="H59" s="177"/>
      <c r="I59" s="177"/>
      <c r="J59" s="119"/>
      <c r="K59" s="119"/>
      <c r="L59" s="119"/>
    </row>
    <row r="60" spans="1:12" ht="25" customHeight="1" x14ac:dyDescent="0.35">
      <c r="A60" s="111"/>
      <c r="B60" s="111"/>
      <c r="C60" s="111"/>
      <c r="D60" s="112"/>
      <c r="E60" s="112"/>
      <c r="F60" s="112"/>
      <c r="G60" s="177"/>
      <c r="H60" s="177"/>
      <c r="I60" s="177"/>
      <c r="J60" s="119"/>
      <c r="K60" s="119"/>
      <c r="L60" s="119"/>
    </row>
    <row r="61" spans="1:12" ht="25" customHeight="1" x14ac:dyDescent="0.35">
      <c r="A61" s="111"/>
      <c r="B61" s="111"/>
      <c r="C61" s="111"/>
      <c r="D61" s="112"/>
      <c r="E61" s="112"/>
      <c r="F61" s="112"/>
      <c r="G61" s="177"/>
      <c r="H61" s="177"/>
      <c r="I61" s="177"/>
      <c r="J61" s="119"/>
      <c r="K61" s="119"/>
      <c r="L61" s="119"/>
    </row>
    <row r="62" spans="1:12" ht="25" customHeight="1" x14ac:dyDescent="0.35">
      <c r="A62" s="111"/>
      <c r="B62" s="111"/>
      <c r="C62" s="111"/>
      <c r="D62" s="112"/>
      <c r="E62" s="112"/>
      <c r="F62" s="112"/>
      <c r="G62" s="177"/>
      <c r="H62" s="177"/>
      <c r="I62" s="177"/>
      <c r="J62" s="119"/>
      <c r="K62" s="119"/>
      <c r="L62" s="119"/>
    </row>
    <row r="63" spans="1:12" ht="25" customHeight="1" x14ac:dyDescent="0.35">
      <c r="A63" s="111"/>
      <c r="B63" s="111"/>
      <c r="C63" s="111"/>
      <c r="D63" s="112"/>
      <c r="E63" s="112"/>
      <c r="F63" s="112"/>
      <c r="G63" s="177"/>
      <c r="H63" s="177"/>
      <c r="I63" s="177"/>
      <c r="J63" s="119"/>
      <c r="K63" s="119"/>
      <c r="L63" s="119"/>
    </row>
    <row r="64" spans="1:12" ht="25" customHeight="1" x14ac:dyDescent="0.35">
      <c r="A64" s="111"/>
      <c r="B64" s="111"/>
      <c r="C64" s="111"/>
      <c r="D64" s="112"/>
      <c r="E64" s="112"/>
      <c r="F64" s="112"/>
      <c r="G64" s="177"/>
      <c r="H64" s="177"/>
      <c r="I64" s="177"/>
      <c r="J64" s="119"/>
      <c r="K64" s="119"/>
      <c r="L64" s="119"/>
    </row>
    <row r="65" spans="1:12" ht="25" customHeight="1" x14ac:dyDescent="0.35">
      <c r="A65" s="111"/>
      <c r="B65" s="111"/>
      <c r="C65" s="111"/>
      <c r="D65" s="112"/>
      <c r="E65" s="112"/>
      <c r="F65" s="112"/>
      <c r="G65" s="177"/>
      <c r="H65" s="177"/>
      <c r="I65" s="177"/>
      <c r="J65" s="119"/>
      <c r="K65" s="119"/>
      <c r="L65" s="119"/>
    </row>
    <row r="66" spans="1:12" ht="25" customHeight="1" x14ac:dyDescent="0.35">
      <c r="A66" s="111"/>
      <c r="B66" s="111"/>
      <c r="C66" s="111"/>
      <c r="D66" s="112"/>
      <c r="E66" s="112"/>
      <c r="F66" s="112"/>
      <c r="G66" s="177"/>
      <c r="H66" s="177"/>
      <c r="I66" s="177"/>
      <c r="J66" s="119"/>
      <c r="K66" s="119"/>
      <c r="L66" s="119"/>
    </row>
    <row r="67" spans="1:12" ht="25" customHeight="1" x14ac:dyDescent="0.35">
      <c r="A67" s="111"/>
      <c r="B67" s="111"/>
      <c r="C67" s="111"/>
      <c r="D67" s="112"/>
      <c r="E67" s="112"/>
      <c r="F67" s="112"/>
      <c r="G67" s="177"/>
      <c r="H67" s="177"/>
      <c r="I67" s="177"/>
      <c r="J67" s="119"/>
      <c r="K67" s="119"/>
      <c r="L67" s="119"/>
    </row>
    <row r="68" spans="1:12" ht="25" customHeight="1" x14ac:dyDescent="0.35">
      <c r="A68" s="111"/>
      <c r="B68" s="111"/>
      <c r="C68" s="111"/>
      <c r="D68" s="112"/>
      <c r="E68" s="112"/>
      <c r="F68" s="112"/>
      <c r="G68" s="177"/>
      <c r="H68" s="177"/>
      <c r="I68" s="177"/>
      <c r="J68" s="119"/>
      <c r="K68" s="119"/>
      <c r="L68" s="119"/>
    </row>
    <row r="69" spans="1:12" ht="25" customHeight="1" x14ac:dyDescent="0.35">
      <c r="A69" s="111"/>
      <c r="B69" s="111"/>
      <c r="C69" s="111"/>
      <c r="D69" s="112"/>
      <c r="E69" s="112"/>
      <c r="F69" s="112"/>
      <c r="G69" s="177"/>
      <c r="H69" s="177"/>
      <c r="I69" s="177"/>
      <c r="J69" s="119"/>
      <c r="K69" s="119"/>
      <c r="L69" s="119"/>
    </row>
    <row r="70" spans="1:12" ht="25" customHeight="1" x14ac:dyDescent="0.35">
      <c r="A70" s="111"/>
      <c r="B70" s="111"/>
      <c r="C70" s="111"/>
      <c r="D70" s="112"/>
      <c r="E70" s="112"/>
      <c r="F70" s="112"/>
      <c r="G70" s="177"/>
      <c r="H70" s="177"/>
      <c r="I70" s="177"/>
      <c r="J70" s="119"/>
      <c r="K70" s="119"/>
      <c r="L70" s="119"/>
    </row>
    <row r="71" spans="1:12" ht="25" customHeight="1" x14ac:dyDescent="0.35">
      <c r="A71" s="111"/>
      <c r="B71" s="111"/>
      <c r="C71" s="111"/>
      <c r="D71" s="112"/>
      <c r="E71" s="112"/>
      <c r="F71" s="112"/>
      <c r="G71" s="177"/>
      <c r="H71" s="177"/>
      <c r="I71" s="177"/>
      <c r="J71" s="119"/>
      <c r="K71" s="119"/>
      <c r="L71" s="119"/>
    </row>
    <row r="72" spans="1:12" ht="25" customHeight="1" x14ac:dyDescent="0.35">
      <c r="A72" s="111"/>
      <c r="B72" s="111"/>
      <c r="C72" s="111"/>
      <c r="D72" s="112"/>
      <c r="E72" s="112"/>
      <c r="F72" s="112"/>
      <c r="G72" s="177"/>
      <c r="H72" s="177"/>
      <c r="I72" s="177"/>
      <c r="J72" s="119"/>
      <c r="K72" s="119"/>
      <c r="L72" s="119"/>
    </row>
    <row r="73" spans="1:12" ht="25" customHeight="1" x14ac:dyDescent="0.35">
      <c r="A73" s="111"/>
      <c r="B73" s="111"/>
      <c r="C73" s="111"/>
      <c r="D73" s="112"/>
      <c r="E73" s="112"/>
      <c r="F73" s="112"/>
      <c r="G73" s="177"/>
      <c r="H73" s="177"/>
      <c r="I73" s="177"/>
      <c r="J73" s="119"/>
      <c r="K73" s="119"/>
      <c r="L73" s="119"/>
    </row>
    <row r="74" spans="1:12" ht="25" customHeight="1" x14ac:dyDescent="0.35">
      <c r="A74" s="111"/>
      <c r="B74" s="111"/>
      <c r="C74" s="111"/>
      <c r="D74" s="112"/>
      <c r="E74" s="112"/>
      <c r="F74" s="112"/>
      <c r="G74" s="177"/>
      <c r="H74" s="177"/>
      <c r="I74" s="177"/>
      <c r="J74" s="119"/>
      <c r="K74" s="119"/>
      <c r="L74" s="119"/>
    </row>
    <row r="75" spans="1:12" ht="25" customHeight="1" x14ac:dyDescent="0.35">
      <c r="A75" s="111"/>
      <c r="B75" s="111"/>
      <c r="C75" s="111"/>
      <c r="D75" s="112"/>
      <c r="E75" s="112"/>
      <c r="F75" s="112"/>
      <c r="G75" s="177"/>
      <c r="H75" s="177"/>
      <c r="I75" s="177"/>
      <c r="J75" s="119"/>
      <c r="K75" s="119"/>
      <c r="L75" s="119"/>
    </row>
    <row r="76" spans="1:12" ht="25" customHeight="1" x14ac:dyDescent="0.35">
      <c r="A76" s="111"/>
      <c r="B76" s="111"/>
      <c r="C76" s="111"/>
      <c r="D76" s="112"/>
      <c r="E76" s="112"/>
      <c r="F76" s="112"/>
      <c r="G76" s="177"/>
      <c r="H76" s="177"/>
      <c r="I76" s="177"/>
      <c r="J76" s="119"/>
      <c r="K76" s="119"/>
      <c r="L76" s="119"/>
    </row>
    <row r="77" spans="1:12" ht="25" customHeight="1" x14ac:dyDescent="0.35">
      <c r="A77" s="111"/>
      <c r="B77" s="111"/>
      <c r="C77" s="111"/>
      <c r="D77" s="112"/>
      <c r="E77" s="112"/>
      <c r="F77" s="112"/>
      <c r="G77" s="177"/>
      <c r="H77" s="177"/>
      <c r="I77" s="177"/>
      <c r="J77" s="119"/>
      <c r="K77" s="119"/>
      <c r="L77" s="119"/>
    </row>
    <row r="78" spans="1:12" ht="25" customHeight="1" x14ac:dyDescent="0.35">
      <c r="A78" s="111"/>
      <c r="B78" s="111"/>
      <c r="C78" s="111"/>
      <c r="D78" s="112"/>
      <c r="E78" s="112"/>
      <c r="F78" s="112"/>
      <c r="G78" s="177"/>
      <c r="H78" s="177"/>
      <c r="I78" s="177"/>
      <c r="J78" s="119"/>
      <c r="K78" s="119"/>
      <c r="L78" s="119"/>
    </row>
    <row r="79" spans="1:12" ht="25" customHeight="1" x14ac:dyDescent="0.35">
      <c r="A79" s="111"/>
      <c r="B79" s="111"/>
      <c r="C79" s="111"/>
      <c r="D79" s="112"/>
      <c r="E79" s="112"/>
      <c r="F79" s="112"/>
      <c r="G79" s="177"/>
      <c r="H79" s="177"/>
      <c r="I79" s="177"/>
      <c r="J79" s="119"/>
      <c r="K79" s="119"/>
      <c r="L79" s="119"/>
    </row>
    <row r="80" spans="1:12" ht="25" customHeight="1" x14ac:dyDescent="0.35">
      <c r="A80" s="111"/>
      <c r="B80" s="111"/>
      <c r="C80" s="111"/>
      <c r="D80" s="112"/>
      <c r="E80" s="112"/>
      <c r="F80" s="112"/>
      <c r="G80" s="177"/>
      <c r="H80" s="177"/>
      <c r="I80" s="177"/>
      <c r="J80" s="119"/>
      <c r="K80" s="119"/>
      <c r="L80" s="119"/>
    </row>
    <row r="81" spans="1:12" ht="25" customHeight="1" x14ac:dyDescent="0.35">
      <c r="A81" s="111"/>
      <c r="B81" s="111"/>
      <c r="C81" s="111"/>
      <c r="D81" s="112"/>
      <c r="E81" s="112"/>
      <c r="F81" s="112"/>
      <c r="G81" s="177"/>
      <c r="H81" s="177"/>
      <c r="I81" s="177"/>
      <c r="J81" s="119"/>
      <c r="K81" s="119"/>
      <c r="L81" s="119"/>
    </row>
    <row r="82" spans="1:12" ht="25" customHeight="1" x14ac:dyDescent="0.35">
      <c r="A82" s="111"/>
      <c r="B82" s="111"/>
      <c r="C82" s="111"/>
      <c r="D82" s="112"/>
      <c r="E82" s="112"/>
      <c r="F82" s="112"/>
      <c r="G82" s="177"/>
      <c r="H82" s="177"/>
      <c r="I82" s="177"/>
      <c r="J82" s="119"/>
      <c r="K82" s="119"/>
      <c r="L82" s="119"/>
    </row>
    <row r="83" spans="1:12" ht="25" customHeight="1" x14ac:dyDescent="0.35">
      <c r="A83" s="111"/>
      <c r="B83" s="111"/>
      <c r="C83" s="111"/>
      <c r="D83" s="112"/>
      <c r="E83" s="112"/>
      <c r="F83" s="112"/>
      <c r="G83" s="177"/>
      <c r="H83" s="177"/>
      <c r="I83" s="177"/>
      <c r="J83" s="119"/>
      <c r="K83" s="119"/>
      <c r="L83" s="119"/>
    </row>
    <row r="84" spans="1:12" ht="25" customHeight="1" x14ac:dyDescent="0.35">
      <c r="A84" s="111"/>
      <c r="B84" s="111"/>
      <c r="C84" s="111"/>
      <c r="D84" s="112"/>
      <c r="E84" s="112"/>
      <c r="F84" s="112"/>
      <c r="G84" s="177"/>
      <c r="H84" s="177"/>
      <c r="I84" s="177"/>
      <c r="J84" s="119"/>
      <c r="K84" s="119"/>
      <c r="L84" s="119"/>
    </row>
    <row r="85" spans="1:12" ht="25" customHeight="1" x14ac:dyDescent="0.35">
      <c r="A85" s="111"/>
      <c r="B85" s="111"/>
      <c r="C85" s="111"/>
      <c r="D85" s="112"/>
      <c r="E85" s="112"/>
      <c r="F85" s="112"/>
      <c r="G85" s="177"/>
      <c r="H85" s="177"/>
      <c r="I85" s="177"/>
      <c r="J85" s="119"/>
      <c r="K85" s="119"/>
      <c r="L85" s="119"/>
    </row>
    <row r="86" spans="1:12" ht="25" customHeight="1" x14ac:dyDescent="0.35">
      <c r="A86" s="111"/>
      <c r="B86" s="111"/>
      <c r="C86" s="111"/>
      <c r="D86" s="112"/>
      <c r="E86" s="112"/>
      <c r="F86" s="112"/>
      <c r="G86" s="177"/>
      <c r="H86" s="177"/>
      <c r="I86" s="177"/>
      <c r="J86" s="119"/>
      <c r="K86" s="119"/>
      <c r="L86" s="119"/>
    </row>
    <row r="87" spans="1:12" ht="25" customHeight="1" x14ac:dyDescent="0.35">
      <c r="A87" s="111"/>
      <c r="B87" s="111"/>
      <c r="C87" s="111"/>
      <c r="D87" s="112"/>
      <c r="E87" s="112"/>
      <c r="F87" s="112"/>
      <c r="G87" s="177"/>
      <c r="H87" s="177"/>
      <c r="I87" s="177"/>
      <c r="J87" s="119"/>
      <c r="K87" s="119"/>
      <c r="L87" s="119"/>
    </row>
    <row r="88" spans="1:12" ht="25" customHeight="1" x14ac:dyDescent="0.35">
      <c r="A88" s="111"/>
      <c r="B88" s="111"/>
      <c r="C88" s="111"/>
      <c r="D88" s="112"/>
      <c r="E88" s="112"/>
      <c r="F88" s="112"/>
      <c r="G88" s="177"/>
      <c r="H88" s="177"/>
      <c r="I88" s="177"/>
      <c r="J88" s="119"/>
      <c r="K88" s="119"/>
      <c r="L88" s="119"/>
    </row>
    <row r="89" spans="1:12" ht="25" customHeight="1" x14ac:dyDescent="0.35">
      <c r="A89" s="111"/>
      <c r="B89" s="111"/>
      <c r="C89" s="111"/>
      <c r="D89" s="112"/>
      <c r="E89" s="112"/>
      <c r="F89" s="112"/>
      <c r="G89" s="177"/>
      <c r="H89" s="177"/>
      <c r="I89" s="177"/>
      <c r="J89" s="119"/>
      <c r="K89" s="119"/>
      <c r="L89" s="119"/>
    </row>
    <row r="90" spans="1:12" ht="25" customHeight="1" x14ac:dyDescent="0.35">
      <c r="A90" s="111"/>
      <c r="B90" s="111"/>
      <c r="C90" s="111"/>
      <c r="D90" s="112"/>
      <c r="E90" s="112"/>
      <c r="F90" s="112"/>
      <c r="G90" s="177"/>
      <c r="H90" s="177"/>
      <c r="I90" s="177"/>
      <c r="J90" s="119"/>
      <c r="K90" s="119"/>
      <c r="L90" s="119"/>
    </row>
    <row r="91" spans="1:12" ht="25" customHeight="1" x14ac:dyDescent="0.35">
      <c r="A91" s="111"/>
      <c r="B91" s="111"/>
      <c r="C91" s="111"/>
      <c r="D91" s="112"/>
      <c r="E91" s="112"/>
      <c r="F91" s="112"/>
      <c r="G91" s="177"/>
      <c r="H91" s="177"/>
      <c r="I91" s="177"/>
      <c r="J91" s="119"/>
      <c r="K91" s="119"/>
      <c r="L91" s="119"/>
    </row>
    <row r="92" spans="1:12" ht="25" customHeight="1" x14ac:dyDescent="0.35">
      <c r="A92" s="111"/>
      <c r="B92" s="111"/>
      <c r="C92" s="111"/>
      <c r="D92" s="112"/>
      <c r="E92" s="112"/>
      <c r="F92" s="112"/>
      <c r="G92" s="177"/>
      <c r="H92" s="177"/>
      <c r="I92" s="177"/>
      <c r="J92" s="119"/>
      <c r="K92" s="119"/>
      <c r="L92" s="119"/>
    </row>
    <row r="93" spans="1:12" ht="25" customHeight="1" x14ac:dyDescent="0.35">
      <c r="A93" s="111"/>
      <c r="B93" s="111"/>
      <c r="C93" s="111"/>
      <c r="D93" s="112"/>
      <c r="E93" s="112"/>
      <c r="F93" s="112"/>
      <c r="G93" s="177"/>
      <c r="H93" s="177"/>
      <c r="I93" s="177"/>
      <c r="J93" s="119"/>
      <c r="K93" s="119"/>
      <c r="L93" s="119"/>
    </row>
    <row r="94" spans="1:12" ht="25" customHeight="1" x14ac:dyDescent="0.35">
      <c r="A94" s="111"/>
      <c r="B94" s="111"/>
      <c r="C94" s="111"/>
      <c r="D94" s="112"/>
      <c r="E94" s="112"/>
      <c r="F94" s="112"/>
      <c r="G94" s="177"/>
      <c r="H94" s="177"/>
      <c r="I94" s="177"/>
      <c r="J94" s="119"/>
      <c r="K94" s="119"/>
      <c r="L94" s="119"/>
    </row>
    <row r="95" spans="1:12" ht="25" customHeight="1" x14ac:dyDescent="0.35">
      <c r="A95" s="111"/>
      <c r="B95" s="111"/>
      <c r="C95" s="111"/>
      <c r="D95" s="112"/>
      <c r="E95" s="112"/>
      <c r="F95" s="112"/>
      <c r="G95" s="177"/>
      <c r="H95" s="177"/>
      <c r="I95" s="177"/>
      <c r="J95" s="119"/>
      <c r="K95" s="119"/>
      <c r="L95" s="119"/>
    </row>
    <row r="96" spans="1:12" ht="25" customHeight="1" x14ac:dyDescent="0.35">
      <c r="A96" s="111"/>
      <c r="B96" s="111"/>
      <c r="C96" s="111"/>
      <c r="D96" s="112"/>
      <c r="E96" s="112"/>
      <c r="F96" s="112"/>
      <c r="G96" s="177"/>
      <c r="H96" s="177"/>
      <c r="I96" s="177"/>
      <c r="J96" s="119"/>
      <c r="K96" s="119"/>
      <c r="L96" s="119"/>
    </row>
    <row r="97" spans="1:12" ht="25" customHeight="1" x14ac:dyDescent="0.35">
      <c r="A97" s="111"/>
      <c r="B97" s="111"/>
      <c r="C97" s="111"/>
      <c r="D97" s="112"/>
      <c r="E97" s="112"/>
      <c r="F97" s="112"/>
      <c r="G97" s="177"/>
      <c r="H97" s="177"/>
      <c r="I97" s="177"/>
      <c r="J97" s="119"/>
      <c r="K97" s="119"/>
      <c r="L97" s="119"/>
    </row>
    <row r="98" spans="1:12" ht="25" customHeight="1" x14ac:dyDescent="0.35">
      <c r="A98" s="111"/>
      <c r="B98" s="111"/>
      <c r="C98" s="111"/>
      <c r="D98" s="112"/>
      <c r="E98" s="112"/>
      <c r="F98" s="112"/>
      <c r="G98" s="177"/>
      <c r="H98" s="177"/>
      <c r="I98" s="177"/>
      <c r="J98" s="119"/>
      <c r="K98" s="119"/>
      <c r="L98" s="119"/>
    </row>
    <row r="99" spans="1:12" ht="25" customHeight="1" x14ac:dyDescent="0.35">
      <c r="A99" s="111"/>
      <c r="B99" s="111"/>
      <c r="C99" s="111"/>
      <c r="D99" s="112"/>
      <c r="E99" s="112"/>
      <c r="F99" s="112"/>
      <c r="G99" s="177"/>
      <c r="H99" s="177"/>
      <c r="I99" s="177"/>
      <c r="J99" s="119"/>
      <c r="K99" s="119"/>
      <c r="L99" s="119"/>
    </row>
    <row r="100" spans="1:12" ht="25" customHeight="1" x14ac:dyDescent="0.35">
      <c r="A100" s="111"/>
      <c r="B100" s="111"/>
      <c r="C100" s="111"/>
      <c r="D100" s="112"/>
      <c r="E100" s="112"/>
      <c r="F100" s="112"/>
      <c r="G100" s="177"/>
      <c r="H100" s="177"/>
      <c r="I100" s="177"/>
      <c r="J100" s="119"/>
      <c r="K100" s="119"/>
      <c r="L100" s="119"/>
    </row>
    <row r="101" spans="1:12" ht="25" customHeight="1" x14ac:dyDescent="0.35">
      <c r="A101" s="111"/>
      <c r="B101" s="111"/>
      <c r="C101" s="111"/>
      <c r="D101" s="112"/>
      <c r="E101" s="112"/>
      <c r="F101" s="112"/>
      <c r="G101" s="177"/>
      <c r="H101" s="177"/>
      <c r="I101" s="177"/>
      <c r="J101" s="119"/>
      <c r="K101" s="119"/>
      <c r="L101" s="119"/>
    </row>
    <row r="102" spans="1:12" ht="25" customHeight="1" x14ac:dyDescent="0.35">
      <c r="A102" s="111"/>
      <c r="B102" s="111"/>
      <c r="C102" s="111"/>
      <c r="D102" s="112"/>
      <c r="E102" s="112"/>
      <c r="F102" s="112"/>
      <c r="G102" s="177"/>
      <c r="H102" s="177"/>
      <c r="I102" s="177"/>
      <c r="J102" s="119"/>
      <c r="K102" s="119"/>
      <c r="L102" s="119"/>
    </row>
    <row r="103" spans="1:12" ht="25" customHeight="1" x14ac:dyDescent="0.35">
      <c r="A103" s="111"/>
      <c r="B103" s="111"/>
      <c r="C103" s="111"/>
      <c r="D103" s="112"/>
      <c r="E103" s="112"/>
      <c r="F103" s="112"/>
      <c r="G103" s="177"/>
      <c r="H103" s="177"/>
      <c r="I103" s="177"/>
      <c r="J103" s="119"/>
      <c r="K103" s="119"/>
      <c r="L103" s="119"/>
    </row>
    <row r="104" spans="1:12" ht="25" customHeight="1" x14ac:dyDescent="0.35">
      <c r="A104" s="111"/>
      <c r="B104" s="111"/>
      <c r="C104" s="111"/>
      <c r="D104" s="112"/>
      <c r="E104" s="112"/>
      <c r="F104" s="112"/>
      <c r="G104" s="177"/>
      <c r="H104" s="177"/>
      <c r="I104" s="177"/>
      <c r="J104" s="119"/>
      <c r="K104" s="119"/>
      <c r="L104" s="119"/>
    </row>
    <row r="105" spans="1:12" ht="25" customHeight="1" x14ac:dyDescent="0.35">
      <c r="A105" s="111"/>
      <c r="B105" s="111"/>
      <c r="C105" s="111"/>
      <c r="D105" s="112"/>
      <c r="E105" s="112"/>
      <c r="F105" s="112"/>
      <c r="G105" s="177"/>
      <c r="H105" s="177"/>
      <c r="I105" s="177"/>
      <c r="J105" s="119"/>
      <c r="K105" s="119"/>
      <c r="L105" s="119"/>
    </row>
    <row r="106" spans="1:12" ht="25" customHeight="1" x14ac:dyDescent="0.35">
      <c r="A106" s="111"/>
      <c r="B106" s="111"/>
      <c r="C106" s="111"/>
      <c r="D106" s="112"/>
      <c r="E106" s="112"/>
      <c r="F106" s="112"/>
      <c r="G106" s="177"/>
      <c r="H106" s="177"/>
      <c r="I106" s="177"/>
      <c r="J106" s="119"/>
      <c r="K106" s="119"/>
      <c r="L106" s="119"/>
    </row>
    <row r="107" spans="1:12" ht="25" customHeight="1" x14ac:dyDescent="0.35">
      <c r="A107" s="111"/>
      <c r="B107" s="111"/>
      <c r="C107" s="111"/>
      <c r="D107" s="112"/>
      <c r="E107" s="112"/>
      <c r="F107" s="112"/>
      <c r="G107" s="177"/>
      <c r="H107" s="177"/>
      <c r="I107" s="177"/>
      <c r="J107" s="119"/>
      <c r="K107" s="119"/>
      <c r="L107" s="119"/>
    </row>
    <row r="108" spans="1:12" ht="25" customHeight="1" x14ac:dyDescent="0.35">
      <c r="A108" s="111"/>
      <c r="B108" s="111"/>
      <c r="C108" s="111"/>
      <c r="D108" s="112"/>
      <c r="E108" s="112"/>
      <c r="F108" s="112"/>
      <c r="G108" s="177"/>
      <c r="H108" s="177"/>
      <c r="I108" s="177"/>
      <c r="J108" s="119"/>
      <c r="K108" s="119"/>
      <c r="L108" s="119"/>
    </row>
    <row r="109" spans="1:12" ht="25" customHeight="1" x14ac:dyDescent="0.35">
      <c r="A109" s="111"/>
      <c r="B109" s="111"/>
      <c r="C109" s="111"/>
      <c r="D109" s="112"/>
      <c r="E109" s="112"/>
      <c r="F109" s="112"/>
      <c r="G109" s="177"/>
      <c r="H109" s="177"/>
      <c r="I109" s="177"/>
      <c r="J109" s="119"/>
      <c r="K109" s="119"/>
      <c r="L109" s="119"/>
    </row>
    <row r="110" spans="1:12" ht="25" customHeight="1" x14ac:dyDescent="0.35">
      <c r="A110" s="111"/>
      <c r="B110" s="111"/>
      <c r="C110" s="111"/>
      <c r="D110" s="112"/>
      <c r="E110" s="112"/>
      <c r="F110" s="112"/>
      <c r="G110" s="177"/>
      <c r="H110" s="177"/>
      <c r="I110" s="177"/>
      <c r="J110" s="119"/>
      <c r="K110" s="119"/>
      <c r="L110" s="119"/>
    </row>
    <row r="111" spans="1:12" ht="25" customHeight="1" x14ac:dyDescent="0.35">
      <c r="A111" s="111"/>
      <c r="B111" s="111"/>
      <c r="C111" s="111"/>
      <c r="D111" s="112"/>
      <c r="E111" s="112"/>
      <c r="F111" s="112"/>
      <c r="G111" s="177"/>
      <c r="H111" s="177"/>
      <c r="I111" s="177"/>
      <c r="J111" s="119"/>
      <c r="K111" s="119"/>
      <c r="L111" s="119"/>
    </row>
    <row r="112" spans="1:12" ht="25" customHeight="1" x14ac:dyDescent="0.35">
      <c r="A112" s="111"/>
      <c r="B112" s="111"/>
      <c r="C112" s="111"/>
      <c r="D112" s="112"/>
      <c r="E112" s="112"/>
      <c r="F112" s="112"/>
      <c r="G112" s="177"/>
      <c r="H112" s="177"/>
      <c r="I112" s="177"/>
      <c r="J112" s="119"/>
      <c r="K112" s="119"/>
      <c r="L112" s="119"/>
    </row>
    <row r="113" spans="1:12" ht="25" customHeight="1" x14ac:dyDescent="0.35">
      <c r="A113" s="111"/>
      <c r="B113" s="111"/>
      <c r="C113" s="111"/>
      <c r="D113" s="112"/>
      <c r="E113" s="112"/>
      <c r="F113" s="112"/>
      <c r="G113" s="177"/>
      <c r="H113" s="177"/>
      <c r="I113" s="177"/>
      <c r="J113" s="119"/>
      <c r="K113" s="119"/>
      <c r="L113" s="119"/>
    </row>
    <row r="114" spans="1:12" ht="25" customHeight="1" x14ac:dyDescent="0.35">
      <c r="A114" s="111"/>
      <c r="B114" s="111"/>
      <c r="C114" s="111"/>
      <c r="D114" s="112"/>
      <c r="E114" s="112"/>
      <c r="F114" s="112"/>
      <c r="G114" s="177"/>
      <c r="H114" s="177"/>
      <c r="I114" s="177"/>
      <c r="J114" s="119"/>
      <c r="K114" s="119"/>
      <c r="L114" s="119"/>
    </row>
    <row r="115" spans="1:12" ht="25" customHeight="1" x14ac:dyDescent="0.35">
      <c r="A115" s="111"/>
      <c r="B115" s="111"/>
      <c r="C115" s="111"/>
      <c r="D115" s="112"/>
      <c r="E115" s="112"/>
      <c r="F115" s="112"/>
      <c r="G115" s="177"/>
      <c r="H115" s="177"/>
      <c r="I115" s="177"/>
      <c r="J115" s="119"/>
      <c r="K115" s="119"/>
      <c r="L115" s="119"/>
    </row>
    <row r="116" spans="1:12" ht="25" customHeight="1" x14ac:dyDescent="0.35">
      <c r="A116" s="111"/>
      <c r="B116" s="111"/>
      <c r="C116" s="111"/>
      <c r="D116" s="112"/>
      <c r="E116" s="112"/>
      <c r="F116" s="112"/>
      <c r="G116" s="177"/>
      <c r="H116" s="177"/>
      <c r="I116" s="177"/>
      <c r="J116" s="119"/>
      <c r="K116" s="119"/>
      <c r="L116" s="119"/>
    </row>
    <row r="117" spans="1:12" ht="25" customHeight="1" x14ac:dyDescent="0.35">
      <c r="A117" s="111"/>
      <c r="B117" s="111"/>
      <c r="C117" s="111"/>
      <c r="D117" s="112"/>
      <c r="E117" s="112"/>
      <c r="F117" s="112"/>
      <c r="G117" s="177"/>
      <c r="H117" s="177"/>
      <c r="I117" s="177"/>
      <c r="J117" s="119"/>
      <c r="K117" s="119"/>
      <c r="L117" s="119"/>
    </row>
    <row r="118" spans="1:12" ht="25" customHeight="1" x14ac:dyDescent="0.35">
      <c r="A118" s="111"/>
      <c r="B118" s="111"/>
      <c r="C118" s="111"/>
      <c r="D118" s="112"/>
      <c r="E118" s="112"/>
      <c r="F118" s="112"/>
      <c r="G118" s="177"/>
      <c r="H118" s="177"/>
      <c r="I118" s="177"/>
      <c r="J118" s="119"/>
      <c r="K118" s="119"/>
      <c r="L118" s="119"/>
    </row>
    <row r="119" spans="1:12" ht="25" customHeight="1" x14ac:dyDescent="0.35">
      <c r="A119" s="111"/>
      <c r="B119" s="111"/>
      <c r="C119" s="111"/>
      <c r="D119" s="112"/>
      <c r="E119" s="112"/>
      <c r="F119" s="112"/>
      <c r="G119" s="177"/>
      <c r="H119" s="177"/>
      <c r="I119" s="177"/>
      <c r="J119" s="119"/>
      <c r="K119" s="119"/>
      <c r="L119" s="119"/>
    </row>
    <row r="120" spans="1:12" ht="25" customHeight="1" x14ac:dyDescent="0.35">
      <c r="A120" s="111"/>
      <c r="B120" s="111"/>
      <c r="C120" s="111"/>
      <c r="D120" s="112"/>
      <c r="E120" s="112"/>
      <c r="F120" s="112"/>
      <c r="G120" s="177"/>
      <c r="H120" s="177"/>
      <c r="I120" s="177"/>
      <c r="J120" s="119"/>
      <c r="K120" s="119"/>
      <c r="L120" s="119"/>
    </row>
    <row r="121" spans="1:12" ht="25" customHeight="1" x14ac:dyDescent="0.35">
      <c r="A121" s="111"/>
      <c r="B121" s="111"/>
      <c r="C121" s="111"/>
      <c r="D121" s="112"/>
      <c r="E121" s="112"/>
      <c r="F121" s="112"/>
      <c r="G121" s="177"/>
      <c r="H121" s="177"/>
      <c r="I121" s="177"/>
      <c r="J121" s="119"/>
      <c r="K121" s="119"/>
      <c r="L121" s="119"/>
    </row>
    <row r="122" spans="1:12" ht="25" customHeight="1" x14ac:dyDescent="0.35">
      <c r="A122" s="111"/>
      <c r="B122" s="111"/>
      <c r="C122" s="111"/>
      <c r="D122" s="112"/>
      <c r="E122" s="112"/>
      <c r="F122" s="112"/>
      <c r="G122" s="177"/>
      <c r="H122" s="177"/>
      <c r="I122" s="177"/>
      <c r="J122" s="119"/>
      <c r="K122" s="119"/>
      <c r="L122" s="119"/>
    </row>
    <row r="123" spans="1:12" ht="25" customHeight="1" x14ac:dyDescent="0.35">
      <c r="A123" s="111"/>
      <c r="B123" s="111"/>
      <c r="C123" s="111"/>
      <c r="D123" s="112"/>
      <c r="E123" s="112"/>
      <c r="F123" s="112"/>
      <c r="G123" s="177"/>
      <c r="H123" s="177"/>
      <c r="I123" s="177"/>
      <c r="J123" s="119"/>
      <c r="K123" s="119"/>
      <c r="L123" s="119"/>
    </row>
    <row r="124" spans="1:12" ht="25" customHeight="1" x14ac:dyDescent="0.35">
      <c r="A124" s="111"/>
      <c r="B124" s="111"/>
      <c r="C124" s="111"/>
      <c r="D124" s="112"/>
      <c r="E124" s="112"/>
      <c r="F124" s="112"/>
      <c r="G124" s="177"/>
      <c r="H124" s="177"/>
      <c r="I124" s="177"/>
      <c r="J124" s="119"/>
      <c r="K124" s="119"/>
      <c r="L124" s="119"/>
    </row>
    <row r="125" spans="1:12" ht="25" customHeight="1" x14ac:dyDescent="0.35">
      <c r="A125" s="111"/>
      <c r="B125" s="111"/>
      <c r="C125" s="111"/>
      <c r="D125" s="112"/>
      <c r="E125" s="112"/>
      <c r="F125" s="112"/>
      <c r="G125" s="177"/>
      <c r="H125" s="177"/>
      <c r="I125" s="177"/>
      <c r="J125" s="119"/>
      <c r="K125" s="119"/>
      <c r="L125" s="119"/>
    </row>
    <row r="126" spans="1:12" ht="25" customHeight="1" x14ac:dyDescent="0.35">
      <c r="A126" s="111"/>
      <c r="B126" s="111"/>
      <c r="C126" s="111"/>
      <c r="D126" s="112"/>
      <c r="E126" s="112"/>
      <c r="F126" s="112"/>
      <c r="G126" s="177"/>
      <c r="H126" s="177"/>
      <c r="I126" s="177"/>
      <c r="J126" s="119"/>
      <c r="K126" s="119"/>
      <c r="L126" s="119"/>
    </row>
    <row r="127" spans="1:12" ht="25" customHeight="1" x14ac:dyDescent="0.35">
      <c r="A127" s="111"/>
      <c r="B127" s="111"/>
      <c r="C127" s="111"/>
      <c r="D127" s="112"/>
      <c r="E127" s="112"/>
      <c r="F127" s="112"/>
      <c r="G127" s="177"/>
      <c r="H127" s="177"/>
      <c r="I127" s="177"/>
      <c r="J127" s="119"/>
      <c r="K127" s="119"/>
      <c r="L127" s="119"/>
    </row>
    <row r="128" spans="1:12" ht="25" customHeight="1" x14ac:dyDescent="0.35">
      <c r="A128" s="111"/>
      <c r="B128" s="111"/>
      <c r="C128" s="111"/>
      <c r="D128" s="112"/>
      <c r="E128" s="112"/>
      <c r="F128" s="112"/>
      <c r="G128" s="177"/>
      <c r="H128" s="177"/>
      <c r="I128" s="177"/>
      <c r="J128" s="119"/>
      <c r="K128" s="119"/>
      <c r="L128" s="119"/>
    </row>
    <row r="129" spans="1:12" ht="25" customHeight="1" x14ac:dyDescent="0.35">
      <c r="A129" s="111"/>
      <c r="B129" s="111"/>
      <c r="C129" s="111"/>
      <c r="D129" s="112"/>
      <c r="E129" s="112"/>
      <c r="F129" s="112"/>
      <c r="G129" s="177"/>
      <c r="H129" s="177"/>
      <c r="I129" s="177"/>
      <c r="J129" s="119"/>
      <c r="K129" s="119"/>
      <c r="L129" s="119"/>
    </row>
    <row r="130" spans="1:12" ht="25" customHeight="1" x14ac:dyDescent="0.35">
      <c r="A130" s="111"/>
      <c r="B130" s="111"/>
      <c r="C130" s="111"/>
      <c r="D130" s="112"/>
      <c r="E130" s="112"/>
      <c r="F130" s="112"/>
      <c r="G130" s="177"/>
      <c r="H130" s="177"/>
      <c r="I130" s="177"/>
      <c r="J130" s="119"/>
      <c r="K130" s="119"/>
      <c r="L130" s="119"/>
    </row>
    <row r="131" spans="1:12" ht="25" customHeight="1" x14ac:dyDescent="0.35">
      <c r="A131" s="111"/>
      <c r="B131" s="111"/>
      <c r="C131" s="111"/>
      <c r="D131" s="112"/>
      <c r="E131" s="112"/>
      <c r="F131" s="112"/>
      <c r="G131" s="177"/>
      <c r="H131" s="177"/>
      <c r="I131" s="177"/>
      <c r="J131" s="119"/>
      <c r="K131" s="119"/>
      <c r="L131" s="119"/>
    </row>
    <row r="132" spans="1:12" ht="25" customHeight="1" x14ac:dyDescent="0.35">
      <c r="A132" s="111"/>
      <c r="B132" s="111"/>
      <c r="C132" s="111"/>
      <c r="D132" s="112"/>
      <c r="E132" s="112"/>
      <c r="F132" s="112"/>
      <c r="G132" s="177"/>
      <c r="H132" s="177"/>
      <c r="I132" s="177"/>
      <c r="J132" s="119"/>
      <c r="K132" s="119"/>
      <c r="L132" s="119"/>
    </row>
    <row r="133" spans="1:12" ht="25" customHeight="1" x14ac:dyDescent="0.35">
      <c r="A133" s="111"/>
      <c r="B133" s="111"/>
      <c r="C133" s="111"/>
      <c r="D133" s="112"/>
      <c r="E133" s="112"/>
      <c r="F133" s="112"/>
      <c r="G133" s="177"/>
      <c r="H133" s="177"/>
      <c r="I133" s="177"/>
      <c r="J133" s="119"/>
      <c r="K133" s="119"/>
      <c r="L133" s="119"/>
    </row>
    <row r="134" spans="1:12" ht="25" customHeight="1" x14ac:dyDescent="0.35">
      <c r="A134" s="111"/>
      <c r="B134" s="111"/>
      <c r="C134" s="111"/>
      <c r="D134" s="112"/>
      <c r="E134" s="112"/>
      <c r="F134" s="112"/>
      <c r="G134" s="177"/>
      <c r="H134" s="177"/>
      <c r="I134" s="177"/>
      <c r="J134" s="119"/>
      <c r="K134" s="119"/>
      <c r="L134" s="119"/>
    </row>
    <row r="135" spans="1:12" ht="25" customHeight="1" x14ac:dyDescent="0.35">
      <c r="A135" s="111"/>
      <c r="B135" s="111"/>
      <c r="C135" s="111"/>
      <c r="D135" s="112"/>
      <c r="E135" s="112"/>
      <c r="F135" s="112"/>
      <c r="G135" s="177"/>
      <c r="H135" s="177"/>
      <c r="I135" s="177"/>
      <c r="J135" s="119"/>
      <c r="K135" s="119"/>
      <c r="L135" s="119"/>
    </row>
    <row r="136" spans="1:12" ht="25" customHeight="1" x14ac:dyDescent="0.35">
      <c r="A136" s="111"/>
      <c r="B136" s="111"/>
      <c r="C136" s="111"/>
      <c r="D136" s="112"/>
      <c r="E136" s="112"/>
      <c r="F136" s="112"/>
      <c r="G136" s="177"/>
      <c r="H136" s="177"/>
      <c r="I136" s="177"/>
      <c r="J136" s="119"/>
      <c r="K136" s="119"/>
      <c r="L136" s="119"/>
    </row>
    <row r="137" spans="1:12" ht="25" customHeight="1" x14ac:dyDescent="0.35">
      <c r="A137" s="111"/>
      <c r="B137" s="111"/>
      <c r="C137" s="111"/>
      <c r="D137" s="112"/>
      <c r="E137" s="112"/>
      <c r="F137" s="112"/>
      <c r="G137" s="177"/>
      <c r="H137" s="177"/>
      <c r="I137" s="177"/>
      <c r="J137" s="119"/>
      <c r="K137" s="119"/>
      <c r="L137" s="119"/>
    </row>
    <row r="138" spans="1:12" ht="25" customHeight="1" x14ac:dyDescent="0.35">
      <c r="A138" s="111"/>
      <c r="B138" s="111"/>
      <c r="C138" s="111"/>
      <c r="D138" s="112"/>
      <c r="E138" s="112"/>
      <c r="F138" s="112"/>
      <c r="G138" s="177"/>
      <c r="H138" s="177"/>
      <c r="I138" s="177"/>
      <c r="J138" s="119"/>
      <c r="K138" s="119"/>
      <c r="L138" s="119"/>
    </row>
    <row r="139" spans="1:12" ht="25" customHeight="1" x14ac:dyDescent="0.35">
      <c r="A139" s="111"/>
      <c r="B139" s="111"/>
      <c r="C139" s="111"/>
      <c r="D139" s="112"/>
      <c r="E139" s="112"/>
      <c r="F139" s="112"/>
      <c r="G139" s="177"/>
      <c r="H139" s="177"/>
      <c r="I139" s="177"/>
      <c r="J139" s="119"/>
      <c r="K139" s="119"/>
      <c r="L139" s="119"/>
    </row>
    <row r="140" spans="1:12" ht="25" customHeight="1" x14ac:dyDescent="0.35">
      <c r="A140" s="111"/>
      <c r="B140" s="111"/>
      <c r="C140" s="111"/>
      <c r="D140" s="112"/>
      <c r="E140" s="112"/>
      <c r="F140" s="112"/>
      <c r="G140" s="177"/>
      <c r="H140" s="177"/>
      <c r="I140" s="177"/>
      <c r="J140" s="119"/>
      <c r="K140" s="119"/>
      <c r="L140" s="119"/>
    </row>
    <row r="141" spans="1:12" ht="25" customHeight="1" x14ac:dyDescent="0.35">
      <c r="A141" s="111"/>
      <c r="B141" s="111"/>
      <c r="C141" s="111"/>
      <c r="D141" s="112"/>
      <c r="E141" s="112"/>
      <c r="F141" s="112"/>
      <c r="G141" s="177"/>
      <c r="H141" s="177"/>
      <c r="I141" s="177"/>
      <c r="J141" s="119"/>
      <c r="K141" s="119"/>
      <c r="L141" s="119"/>
    </row>
    <row r="142" spans="1:12" ht="25" customHeight="1" x14ac:dyDescent="0.35">
      <c r="A142" s="111"/>
      <c r="B142" s="111"/>
      <c r="C142" s="111"/>
      <c r="D142" s="112"/>
      <c r="E142" s="112"/>
      <c r="F142" s="112"/>
      <c r="G142" s="177"/>
      <c r="H142" s="177"/>
      <c r="I142" s="177"/>
      <c r="J142" s="119"/>
      <c r="K142" s="119"/>
      <c r="L142" s="119"/>
    </row>
    <row r="143" spans="1:12" ht="25" customHeight="1" x14ac:dyDescent="0.35">
      <c r="A143" s="111"/>
      <c r="B143" s="111"/>
      <c r="C143" s="111"/>
      <c r="D143" s="112"/>
      <c r="E143" s="112"/>
      <c r="F143" s="112"/>
      <c r="G143" s="177"/>
      <c r="H143" s="177"/>
      <c r="I143" s="177"/>
      <c r="J143" s="119"/>
      <c r="K143" s="119"/>
      <c r="L143" s="119"/>
    </row>
    <row r="144" spans="1:12" ht="25" customHeight="1" x14ac:dyDescent="0.35">
      <c r="A144" s="111"/>
      <c r="B144" s="111"/>
      <c r="C144" s="111"/>
      <c r="D144" s="112"/>
      <c r="E144" s="112"/>
      <c r="F144" s="112"/>
      <c r="G144" s="177"/>
      <c r="H144" s="177"/>
      <c r="I144" s="177"/>
      <c r="J144" s="119"/>
      <c r="K144" s="119"/>
      <c r="L144" s="119"/>
    </row>
    <row r="145" spans="1:12" ht="25" customHeight="1" x14ac:dyDescent="0.35">
      <c r="A145" s="111"/>
      <c r="B145" s="111"/>
      <c r="C145" s="111"/>
      <c r="D145" s="112"/>
      <c r="E145" s="112"/>
      <c r="F145" s="112"/>
      <c r="G145" s="177"/>
      <c r="H145" s="177"/>
      <c r="I145" s="177"/>
      <c r="J145" s="119"/>
      <c r="K145" s="119"/>
      <c r="L145" s="119"/>
    </row>
    <row r="146" spans="1:12" ht="25" customHeight="1" x14ac:dyDescent="0.35">
      <c r="A146" s="111"/>
      <c r="B146" s="111"/>
      <c r="C146" s="111"/>
      <c r="D146" s="112"/>
      <c r="E146" s="112"/>
      <c r="F146" s="112"/>
      <c r="G146" s="177"/>
      <c r="H146" s="177"/>
      <c r="I146" s="177"/>
      <c r="J146" s="119"/>
      <c r="K146" s="119"/>
      <c r="L146" s="119"/>
    </row>
    <row r="147" spans="1:12" ht="25" customHeight="1" x14ac:dyDescent="0.35">
      <c r="A147" s="111"/>
      <c r="B147" s="111"/>
      <c r="C147" s="111"/>
      <c r="D147" s="112"/>
      <c r="E147" s="112"/>
      <c r="F147" s="112"/>
      <c r="G147" s="177"/>
      <c r="H147" s="177"/>
      <c r="I147" s="177"/>
      <c r="J147" s="119"/>
      <c r="K147" s="119"/>
      <c r="L147" s="119"/>
    </row>
    <row r="148" spans="1:12" ht="25" customHeight="1" x14ac:dyDescent="0.35">
      <c r="A148" s="111"/>
      <c r="B148" s="111"/>
      <c r="C148" s="111"/>
      <c r="D148" s="112"/>
      <c r="E148" s="112"/>
      <c r="F148" s="112"/>
      <c r="G148" s="177"/>
      <c r="H148" s="177"/>
      <c r="I148" s="177"/>
      <c r="J148" s="119"/>
      <c r="K148" s="119"/>
      <c r="L148" s="119"/>
    </row>
    <row r="149" spans="1:12" ht="25" customHeight="1" x14ac:dyDescent="0.35">
      <c r="A149" s="111"/>
      <c r="B149" s="111"/>
      <c r="C149" s="111"/>
      <c r="D149" s="112"/>
      <c r="E149" s="112"/>
      <c r="F149" s="112"/>
      <c r="G149" s="177"/>
      <c r="H149" s="177"/>
      <c r="I149" s="177"/>
      <c r="J149" s="119"/>
      <c r="K149" s="119"/>
      <c r="L149" s="119"/>
    </row>
    <row r="150" spans="1:12" ht="25" customHeight="1" x14ac:dyDescent="0.35">
      <c r="A150" s="111"/>
      <c r="B150" s="111"/>
      <c r="C150" s="111"/>
      <c r="D150" s="112"/>
      <c r="E150" s="112"/>
      <c r="F150" s="112"/>
      <c r="G150" s="177"/>
      <c r="H150" s="177"/>
      <c r="I150" s="177"/>
      <c r="J150" s="119"/>
      <c r="K150" s="119"/>
      <c r="L150" s="119"/>
    </row>
    <row r="151" spans="1:12" ht="25" customHeight="1" x14ac:dyDescent="0.35">
      <c r="A151" s="111"/>
      <c r="B151" s="111"/>
      <c r="C151" s="111"/>
      <c r="D151" s="112"/>
      <c r="E151" s="112"/>
      <c r="F151" s="112"/>
      <c r="G151" s="177"/>
      <c r="H151" s="177"/>
      <c r="I151" s="177"/>
      <c r="J151" s="119"/>
      <c r="K151" s="119"/>
      <c r="L151" s="119"/>
    </row>
    <row r="152" spans="1:12" ht="25" customHeight="1" x14ac:dyDescent="0.35">
      <c r="A152" s="111"/>
      <c r="B152" s="111"/>
      <c r="C152" s="111"/>
      <c r="D152" s="112"/>
      <c r="E152" s="112"/>
      <c r="F152" s="112"/>
      <c r="G152" s="177"/>
      <c r="H152" s="177"/>
      <c r="I152" s="177"/>
      <c r="J152" s="119"/>
      <c r="K152" s="119"/>
      <c r="L152" s="119"/>
    </row>
    <row r="153" spans="1:12" ht="25" customHeight="1" x14ac:dyDescent="0.35">
      <c r="A153" s="111"/>
      <c r="B153" s="111"/>
      <c r="C153" s="111"/>
      <c r="D153" s="112"/>
      <c r="E153" s="112"/>
      <c r="F153" s="112"/>
      <c r="G153" s="177"/>
      <c r="H153" s="177"/>
      <c r="I153" s="177"/>
      <c r="J153" s="119"/>
      <c r="K153" s="119"/>
      <c r="L153" s="119"/>
    </row>
    <row r="154" spans="1:12" ht="25" customHeight="1" x14ac:dyDescent="0.35">
      <c r="A154" s="111"/>
      <c r="B154" s="111"/>
      <c r="C154" s="111"/>
      <c r="D154" s="112"/>
      <c r="E154" s="112"/>
      <c r="F154" s="112"/>
      <c r="G154" s="177"/>
      <c r="H154" s="177"/>
      <c r="I154" s="177"/>
      <c r="J154" s="119"/>
      <c r="K154" s="119"/>
      <c r="L154" s="119"/>
    </row>
    <row r="155" spans="1:12" ht="25" customHeight="1" x14ac:dyDescent="0.35">
      <c r="A155" s="111"/>
      <c r="B155" s="111"/>
      <c r="C155" s="111"/>
      <c r="D155" s="112"/>
      <c r="E155" s="112"/>
      <c r="F155" s="112"/>
      <c r="G155" s="177"/>
      <c r="H155" s="177"/>
      <c r="I155" s="177"/>
      <c r="J155" s="119"/>
      <c r="K155" s="119"/>
      <c r="L155" s="119"/>
    </row>
    <row r="156" spans="1:12" ht="25" customHeight="1" x14ac:dyDescent="0.35">
      <c r="A156" s="111"/>
      <c r="B156" s="111"/>
      <c r="C156" s="111"/>
      <c r="D156" s="112"/>
      <c r="E156" s="112"/>
      <c r="F156" s="112"/>
      <c r="G156" s="177"/>
      <c r="H156" s="177"/>
      <c r="I156" s="177"/>
      <c r="J156" s="119"/>
      <c r="K156" s="119"/>
      <c r="L156" s="119"/>
    </row>
    <row r="157" spans="1:12" ht="25" customHeight="1" x14ac:dyDescent="0.35">
      <c r="A157" s="111"/>
      <c r="B157" s="111"/>
      <c r="C157" s="111"/>
      <c r="D157" s="112"/>
      <c r="E157" s="112"/>
      <c r="F157" s="112"/>
      <c r="G157" s="177"/>
      <c r="H157" s="177"/>
      <c r="I157" s="177"/>
      <c r="J157" s="119"/>
      <c r="K157" s="119"/>
      <c r="L157" s="119"/>
    </row>
    <row r="158" spans="1:12" ht="25" customHeight="1" x14ac:dyDescent="0.35">
      <c r="A158" s="111"/>
      <c r="B158" s="111"/>
      <c r="C158" s="111"/>
      <c r="D158" s="112"/>
      <c r="E158" s="112"/>
      <c r="F158" s="112"/>
      <c r="G158" s="177"/>
      <c r="H158" s="177"/>
      <c r="I158" s="177"/>
      <c r="J158" s="119"/>
      <c r="K158" s="119"/>
      <c r="L158" s="119"/>
    </row>
    <row r="159" spans="1:12" ht="25" customHeight="1" x14ac:dyDescent="0.35">
      <c r="A159" s="111"/>
      <c r="B159" s="111"/>
      <c r="C159" s="111"/>
      <c r="D159" s="112"/>
      <c r="E159" s="112"/>
      <c r="F159" s="112"/>
      <c r="G159" s="177"/>
      <c r="H159" s="177"/>
      <c r="I159" s="177"/>
      <c r="J159" s="119"/>
      <c r="K159" s="119"/>
      <c r="L159" s="119"/>
    </row>
    <row r="160" spans="1:12" ht="25" customHeight="1" x14ac:dyDescent="0.35">
      <c r="A160" s="111"/>
      <c r="B160" s="111"/>
      <c r="C160" s="111"/>
      <c r="D160" s="112"/>
      <c r="E160" s="112"/>
      <c r="F160" s="112"/>
      <c r="G160" s="177"/>
      <c r="H160" s="177"/>
      <c r="I160" s="177"/>
      <c r="J160" s="119"/>
      <c r="K160" s="119"/>
      <c r="L160" s="119"/>
    </row>
    <row r="161" spans="1:12" ht="25" customHeight="1" x14ac:dyDescent="0.35">
      <c r="A161" s="111"/>
      <c r="B161" s="111"/>
      <c r="C161" s="111"/>
      <c r="D161" s="112"/>
      <c r="E161" s="112"/>
      <c r="F161" s="112"/>
      <c r="G161" s="177"/>
      <c r="H161" s="177"/>
      <c r="I161" s="177"/>
      <c r="J161" s="119"/>
      <c r="K161" s="119"/>
      <c r="L161" s="119"/>
    </row>
    <row r="162" spans="1:12" ht="25" customHeight="1" x14ac:dyDescent="0.35">
      <c r="A162" s="111"/>
      <c r="B162" s="111"/>
      <c r="C162" s="111"/>
      <c r="D162" s="112"/>
      <c r="E162" s="112"/>
      <c r="F162" s="112"/>
      <c r="G162" s="177"/>
      <c r="H162" s="177"/>
      <c r="I162" s="177"/>
      <c r="J162" s="119"/>
      <c r="K162" s="119"/>
      <c r="L162" s="119"/>
    </row>
    <row r="163" spans="1:12" ht="25" customHeight="1" x14ac:dyDescent="0.35">
      <c r="A163" s="111"/>
      <c r="B163" s="111"/>
      <c r="C163" s="111"/>
      <c r="D163" s="112"/>
      <c r="E163" s="112"/>
      <c r="F163" s="112"/>
      <c r="G163" s="177"/>
      <c r="H163" s="177"/>
      <c r="I163" s="177"/>
      <c r="J163" s="119"/>
      <c r="K163" s="119"/>
      <c r="L163" s="119"/>
    </row>
    <row r="164" spans="1:12" ht="25" customHeight="1" x14ac:dyDescent="0.35">
      <c r="A164" s="111"/>
      <c r="B164" s="111"/>
      <c r="C164" s="111"/>
      <c r="D164" s="112"/>
      <c r="E164" s="112"/>
      <c r="F164" s="112"/>
      <c r="G164" s="177"/>
      <c r="H164" s="177"/>
      <c r="I164" s="177"/>
      <c r="J164" s="119"/>
      <c r="K164" s="119"/>
      <c r="L164" s="119"/>
    </row>
    <row r="165" spans="1:12" ht="25" customHeight="1" x14ac:dyDescent="0.35">
      <c r="A165" s="111"/>
      <c r="B165" s="111"/>
      <c r="C165" s="111"/>
      <c r="D165" s="112"/>
      <c r="E165" s="112"/>
      <c r="F165" s="112"/>
      <c r="G165" s="177"/>
      <c r="H165" s="177"/>
      <c r="I165" s="177"/>
      <c r="J165" s="119"/>
      <c r="K165" s="119"/>
      <c r="L165" s="119"/>
    </row>
    <row r="166" spans="1:12" ht="25" customHeight="1" x14ac:dyDescent="0.35">
      <c r="A166" s="111"/>
      <c r="B166" s="111"/>
      <c r="C166" s="111"/>
      <c r="D166" s="112"/>
      <c r="E166" s="112"/>
      <c r="F166" s="112"/>
      <c r="G166" s="177"/>
      <c r="H166" s="177"/>
      <c r="I166" s="177"/>
      <c r="J166" s="119"/>
      <c r="K166" s="119"/>
      <c r="L166" s="119"/>
    </row>
    <row r="167" spans="1:12" ht="25" customHeight="1" x14ac:dyDescent="0.35">
      <c r="A167" s="111"/>
      <c r="B167" s="111"/>
      <c r="C167" s="111"/>
      <c r="D167" s="112"/>
      <c r="E167" s="112"/>
      <c r="F167" s="112"/>
      <c r="G167" s="177"/>
      <c r="H167" s="177"/>
      <c r="I167" s="177"/>
      <c r="J167" s="119"/>
      <c r="K167" s="119"/>
      <c r="L167" s="119"/>
    </row>
    <row r="168" spans="1:12" ht="25" customHeight="1" x14ac:dyDescent="0.35">
      <c r="A168" s="111"/>
      <c r="B168" s="111"/>
      <c r="C168" s="111"/>
      <c r="D168" s="112"/>
      <c r="E168" s="112"/>
      <c r="F168" s="112"/>
      <c r="G168" s="177"/>
      <c r="H168" s="177"/>
      <c r="I168" s="177"/>
      <c r="J168" s="119"/>
      <c r="K168" s="119"/>
      <c r="L168" s="119"/>
    </row>
    <row r="169" spans="1:12" ht="25" customHeight="1" x14ac:dyDescent="0.35">
      <c r="A169" s="111"/>
      <c r="B169" s="111"/>
      <c r="C169" s="111"/>
      <c r="D169" s="112"/>
      <c r="E169" s="112"/>
      <c r="F169" s="112"/>
      <c r="G169" s="177"/>
      <c r="H169" s="177"/>
      <c r="I169" s="177"/>
      <c r="J169" s="119"/>
      <c r="K169" s="119"/>
      <c r="L169" s="119"/>
    </row>
    <row r="170" spans="1:12" ht="25" customHeight="1" x14ac:dyDescent="0.35">
      <c r="A170" s="111"/>
      <c r="B170" s="111"/>
      <c r="C170" s="111"/>
      <c r="D170" s="112"/>
      <c r="E170" s="112"/>
      <c r="F170" s="112"/>
      <c r="G170" s="177"/>
      <c r="H170" s="177"/>
      <c r="I170" s="177"/>
      <c r="J170" s="119"/>
      <c r="K170" s="119"/>
      <c r="L170" s="119"/>
    </row>
    <row r="171" spans="1:12" ht="25" customHeight="1" x14ac:dyDescent="0.35">
      <c r="A171" s="111"/>
      <c r="B171" s="111"/>
      <c r="C171" s="111"/>
      <c r="D171" s="112"/>
      <c r="E171" s="112"/>
      <c r="F171" s="112"/>
      <c r="G171" s="177"/>
      <c r="H171" s="177"/>
      <c r="I171" s="177"/>
      <c r="J171" s="119"/>
      <c r="K171" s="119"/>
      <c r="L171" s="119"/>
    </row>
    <row r="172" spans="1:12" ht="25" customHeight="1" x14ac:dyDescent="0.35">
      <c r="A172" s="111"/>
      <c r="B172" s="111"/>
      <c r="C172" s="111"/>
      <c r="D172" s="112"/>
      <c r="E172" s="112"/>
      <c r="F172" s="112"/>
      <c r="G172" s="177"/>
      <c r="H172" s="177"/>
      <c r="I172" s="177"/>
      <c r="J172" s="119"/>
      <c r="K172" s="119"/>
      <c r="L172" s="119"/>
    </row>
    <row r="173" spans="1:12" ht="25" customHeight="1" x14ac:dyDescent="0.35">
      <c r="A173" s="111"/>
      <c r="B173" s="111"/>
      <c r="C173" s="111"/>
      <c r="D173" s="112"/>
      <c r="E173" s="112"/>
      <c r="F173" s="112"/>
      <c r="G173" s="177"/>
      <c r="H173" s="177"/>
      <c r="I173" s="177"/>
      <c r="J173" s="119"/>
      <c r="K173" s="119"/>
      <c r="L173" s="119"/>
    </row>
    <row r="174" spans="1:12" ht="25" customHeight="1" x14ac:dyDescent="0.35">
      <c r="A174" s="111"/>
      <c r="B174" s="111"/>
      <c r="C174" s="111"/>
      <c r="D174" s="112"/>
      <c r="E174" s="112"/>
      <c r="F174" s="112"/>
      <c r="G174" s="177"/>
      <c r="H174" s="177"/>
      <c r="I174" s="177"/>
      <c r="J174" s="119"/>
      <c r="K174" s="119"/>
      <c r="L174" s="119"/>
    </row>
    <row r="175" spans="1:12" ht="25" customHeight="1" x14ac:dyDescent="0.35">
      <c r="A175" s="111"/>
      <c r="B175" s="111"/>
      <c r="C175" s="111"/>
      <c r="D175" s="112"/>
      <c r="E175" s="112"/>
      <c r="F175" s="112"/>
      <c r="G175" s="177"/>
      <c r="H175" s="177"/>
      <c r="I175" s="177"/>
      <c r="J175" s="119"/>
      <c r="K175" s="119"/>
      <c r="L175" s="119"/>
    </row>
    <row r="176" spans="1:12" ht="25" customHeight="1" x14ac:dyDescent="0.35">
      <c r="A176" s="111"/>
      <c r="B176" s="111"/>
      <c r="C176" s="111"/>
      <c r="D176" s="112"/>
      <c r="E176" s="112"/>
      <c r="F176" s="112"/>
      <c r="G176" s="177"/>
      <c r="H176" s="177"/>
      <c r="I176" s="177"/>
      <c r="J176" s="119"/>
      <c r="K176" s="119"/>
      <c r="L176" s="119"/>
    </row>
    <row r="177" spans="1:12" ht="25" customHeight="1" x14ac:dyDescent="0.35">
      <c r="A177" s="111"/>
      <c r="B177" s="111"/>
      <c r="C177" s="111"/>
      <c r="D177" s="112"/>
      <c r="E177" s="112"/>
      <c r="F177" s="112"/>
      <c r="G177" s="177"/>
      <c r="H177" s="177"/>
      <c r="I177" s="177"/>
      <c r="J177" s="119"/>
      <c r="K177" s="119"/>
      <c r="L177" s="119"/>
    </row>
    <row r="178" spans="1:12" ht="25" customHeight="1" x14ac:dyDescent="0.35">
      <c r="A178" s="111"/>
      <c r="B178" s="111"/>
      <c r="C178" s="111"/>
      <c r="D178" s="112"/>
      <c r="E178" s="112"/>
      <c r="F178" s="112"/>
      <c r="G178" s="177"/>
      <c r="H178" s="177"/>
      <c r="I178" s="177"/>
      <c r="J178" s="119"/>
      <c r="K178" s="119"/>
      <c r="L178" s="119"/>
    </row>
    <row r="179" spans="1:12" ht="25" customHeight="1" x14ac:dyDescent="0.35">
      <c r="A179" s="111"/>
      <c r="B179" s="111"/>
      <c r="C179" s="111"/>
      <c r="D179" s="112"/>
      <c r="E179" s="112"/>
      <c r="F179" s="112"/>
      <c r="G179" s="177"/>
      <c r="H179" s="177"/>
      <c r="I179" s="177"/>
      <c r="J179" s="119"/>
      <c r="K179" s="119"/>
      <c r="L179" s="119"/>
    </row>
    <row r="180" spans="1:12" ht="25" customHeight="1" x14ac:dyDescent="0.35">
      <c r="A180" s="111"/>
      <c r="B180" s="111"/>
      <c r="C180" s="111"/>
      <c r="D180" s="112"/>
      <c r="E180" s="112"/>
      <c r="F180" s="112"/>
      <c r="G180" s="177"/>
      <c r="H180" s="177"/>
      <c r="I180" s="177"/>
      <c r="J180" s="119"/>
      <c r="K180" s="119"/>
      <c r="L180" s="119"/>
    </row>
    <row r="181" spans="1:12" ht="25" customHeight="1" x14ac:dyDescent="0.35">
      <c r="A181" s="111"/>
      <c r="B181" s="111"/>
      <c r="C181" s="111"/>
      <c r="D181" s="112"/>
      <c r="E181" s="112"/>
      <c r="F181" s="112"/>
      <c r="G181" s="177"/>
      <c r="H181" s="177"/>
      <c r="I181" s="177"/>
      <c r="J181" s="119"/>
      <c r="K181" s="119"/>
      <c r="L181" s="119"/>
    </row>
    <row r="182" spans="1:12" ht="25" customHeight="1" x14ac:dyDescent="0.35">
      <c r="A182" s="111"/>
      <c r="B182" s="111"/>
      <c r="C182" s="111"/>
      <c r="D182" s="112"/>
      <c r="E182" s="112"/>
      <c r="F182" s="112"/>
      <c r="G182" s="177"/>
      <c r="H182" s="177"/>
      <c r="I182" s="177"/>
      <c r="J182" s="119"/>
      <c r="K182" s="119"/>
      <c r="L182" s="119"/>
    </row>
    <row r="183" spans="1:12" ht="25" customHeight="1" x14ac:dyDescent="0.35">
      <c r="A183" s="111"/>
      <c r="B183" s="111"/>
      <c r="C183" s="111"/>
      <c r="D183" s="112"/>
      <c r="E183" s="112"/>
      <c r="F183" s="112"/>
      <c r="G183" s="177"/>
      <c r="H183" s="177"/>
      <c r="I183" s="177"/>
      <c r="J183" s="119"/>
      <c r="K183" s="119"/>
      <c r="L183" s="119"/>
    </row>
    <row r="184" spans="1:12" ht="25" customHeight="1" x14ac:dyDescent="0.35">
      <c r="A184" s="111"/>
      <c r="B184" s="111"/>
      <c r="C184" s="111"/>
      <c r="D184" s="112"/>
      <c r="E184" s="112"/>
      <c r="F184" s="112"/>
      <c r="G184" s="177"/>
      <c r="H184" s="177"/>
      <c r="I184" s="177"/>
      <c r="J184" s="119"/>
      <c r="K184" s="119"/>
      <c r="L184" s="119"/>
    </row>
    <row r="185" spans="1:12" ht="25" customHeight="1" x14ac:dyDescent="0.35">
      <c r="A185" s="111"/>
      <c r="B185" s="111"/>
      <c r="C185" s="111"/>
      <c r="D185" s="112"/>
      <c r="E185" s="112"/>
      <c r="F185" s="112"/>
      <c r="G185" s="177"/>
      <c r="H185" s="177"/>
      <c r="I185" s="177"/>
      <c r="J185" s="119"/>
      <c r="K185" s="119"/>
      <c r="L185" s="119"/>
    </row>
    <row r="186" spans="1:12" ht="25" customHeight="1" x14ac:dyDescent="0.35">
      <c r="A186" s="111"/>
      <c r="B186" s="111"/>
      <c r="C186" s="111"/>
      <c r="D186" s="112"/>
      <c r="E186" s="112"/>
      <c r="F186" s="112"/>
      <c r="G186" s="177"/>
      <c r="H186" s="177"/>
      <c r="I186" s="177"/>
      <c r="J186" s="119"/>
      <c r="K186" s="119"/>
      <c r="L186" s="119"/>
    </row>
    <row r="187" spans="1:12" ht="25" customHeight="1" x14ac:dyDescent="0.35">
      <c r="A187" s="111"/>
      <c r="B187" s="111"/>
      <c r="C187" s="111"/>
      <c r="D187" s="112"/>
      <c r="E187" s="112"/>
      <c r="F187" s="112"/>
      <c r="G187" s="177"/>
      <c r="H187" s="177"/>
      <c r="I187" s="177"/>
      <c r="J187" s="119"/>
      <c r="K187" s="119"/>
      <c r="L187" s="119"/>
    </row>
    <row r="188" spans="1:12" ht="25" customHeight="1" x14ac:dyDescent="0.35">
      <c r="A188" s="111"/>
      <c r="B188" s="111"/>
      <c r="C188" s="111"/>
      <c r="D188" s="112"/>
      <c r="E188" s="112"/>
      <c r="F188" s="112"/>
      <c r="G188" s="177"/>
      <c r="H188" s="177"/>
      <c r="I188" s="177"/>
      <c r="J188" s="119"/>
      <c r="K188" s="119"/>
      <c r="L188" s="119"/>
    </row>
    <row r="189" spans="1:12" ht="25" customHeight="1" x14ac:dyDescent="0.35">
      <c r="A189" s="111"/>
      <c r="B189" s="111"/>
      <c r="C189" s="111"/>
      <c r="D189" s="112"/>
      <c r="E189" s="112"/>
      <c r="F189" s="112"/>
      <c r="G189" s="177"/>
      <c r="H189" s="177"/>
      <c r="I189" s="177"/>
      <c r="J189" s="119"/>
      <c r="K189" s="119"/>
      <c r="L189" s="119"/>
    </row>
    <row r="190" spans="1:12" ht="25" customHeight="1" x14ac:dyDescent="0.35">
      <c r="A190" s="111"/>
      <c r="B190" s="111"/>
      <c r="C190" s="111"/>
      <c r="D190" s="112"/>
      <c r="E190" s="112"/>
      <c r="F190" s="112"/>
      <c r="G190" s="177"/>
      <c r="H190" s="177"/>
      <c r="I190" s="177"/>
      <c r="J190" s="119"/>
      <c r="K190" s="119"/>
      <c r="L190" s="119"/>
    </row>
    <row r="191" spans="1:12" ht="25" customHeight="1" x14ac:dyDescent="0.35">
      <c r="A191" s="111"/>
      <c r="B191" s="111"/>
      <c r="C191" s="111"/>
      <c r="D191" s="112"/>
      <c r="E191" s="112"/>
      <c r="F191" s="112"/>
      <c r="G191" s="177"/>
      <c r="H191" s="177"/>
      <c r="I191" s="177"/>
      <c r="J191" s="119"/>
      <c r="K191" s="119"/>
      <c r="L191" s="119"/>
    </row>
    <row r="192" spans="1:12" ht="25" customHeight="1" x14ac:dyDescent="0.35">
      <c r="A192" s="111"/>
      <c r="B192" s="111"/>
      <c r="C192" s="111"/>
      <c r="D192" s="112"/>
      <c r="E192" s="112"/>
      <c r="F192" s="112"/>
      <c r="G192" s="177"/>
      <c r="H192" s="177"/>
      <c r="I192" s="177"/>
      <c r="J192" s="119"/>
      <c r="K192" s="119"/>
      <c r="L192" s="119"/>
    </row>
    <row r="193" spans="1:12" ht="25" customHeight="1" x14ac:dyDescent="0.35">
      <c r="A193" s="111"/>
      <c r="B193" s="111"/>
      <c r="C193" s="111"/>
      <c r="D193" s="112"/>
      <c r="E193" s="112"/>
      <c r="F193" s="112"/>
      <c r="G193" s="177"/>
      <c r="H193" s="177"/>
      <c r="I193" s="177"/>
      <c r="J193" s="119"/>
      <c r="K193" s="119"/>
      <c r="L193" s="119"/>
    </row>
    <row r="194" spans="1:12" ht="25" customHeight="1" x14ac:dyDescent="0.35">
      <c r="A194" s="111"/>
      <c r="B194" s="111"/>
      <c r="C194" s="111"/>
      <c r="D194" s="112"/>
      <c r="E194" s="112"/>
      <c r="F194" s="112"/>
      <c r="G194" s="177"/>
      <c r="H194" s="177"/>
      <c r="I194" s="177"/>
      <c r="J194" s="119"/>
      <c r="K194" s="119"/>
      <c r="L194" s="119"/>
    </row>
    <row r="195" spans="1:12" ht="25" customHeight="1" x14ac:dyDescent="0.35">
      <c r="A195" s="111"/>
      <c r="B195" s="111"/>
      <c r="C195" s="111"/>
      <c r="D195" s="112"/>
      <c r="E195" s="112"/>
      <c r="F195" s="112"/>
      <c r="G195" s="117"/>
      <c r="H195" s="117"/>
      <c r="I195" s="117"/>
      <c r="J195" s="119"/>
      <c r="K195" s="119"/>
      <c r="L195" s="119"/>
    </row>
    <row r="196" spans="1:12" ht="25" customHeight="1" x14ac:dyDescent="0.35">
      <c r="A196" s="111"/>
      <c r="B196" s="111"/>
      <c r="C196" s="111"/>
      <c r="D196" s="112"/>
      <c r="E196" s="112"/>
      <c r="F196" s="112"/>
      <c r="G196" s="117"/>
      <c r="H196" s="117"/>
      <c r="I196" s="117"/>
      <c r="J196" s="119"/>
      <c r="K196" s="119"/>
      <c r="L196" s="119"/>
    </row>
    <row r="197" spans="1:12" ht="25" customHeight="1" x14ac:dyDescent="0.35">
      <c r="A197" s="111"/>
      <c r="B197" s="111"/>
      <c r="C197" s="111"/>
      <c r="D197" s="112"/>
      <c r="E197" s="112"/>
      <c r="F197" s="112"/>
      <c r="G197" s="117"/>
      <c r="H197" s="117"/>
      <c r="I197" s="117"/>
      <c r="J197" s="119"/>
      <c r="K197" s="119"/>
      <c r="L197" s="119"/>
    </row>
    <row r="198" spans="1:12" ht="25" customHeight="1" x14ac:dyDescent="0.35">
      <c r="A198" s="111"/>
      <c r="B198" s="111"/>
      <c r="C198" s="111"/>
      <c r="D198" s="112"/>
      <c r="E198" s="112"/>
      <c r="F198" s="112"/>
      <c r="G198" s="117"/>
      <c r="H198" s="117"/>
      <c r="I198" s="117"/>
      <c r="J198" s="119"/>
      <c r="K198" s="119"/>
      <c r="L198" s="119"/>
    </row>
    <row r="199" spans="1:12" ht="25" customHeight="1" x14ac:dyDescent="0.35">
      <c r="A199" s="111"/>
      <c r="B199" s="111"/>
      <c r="C199" s="111"/>
      <c r="D199" s="112"/>
      <c r="E199" s="112"/>
      <c r="F199" s="112"/>
      <c r="G199" s="117"/>
      <c r="H199" s="117"/>
      <c r="I199" s="117"/>
      <c r="J199" s="119"/>
      <c r="K199" s="119"/>
      <c r="L199" s="119"/>
    </row>
    <row r="200" spans="1:12" ht="25" customHeight="1" x14ac:dyDescent="0.35">
      <c r="A200" s="111"/>
      <c r="B200" s="111"/>
      <c r="C200" s="111"/>
      <c r="D200" s="112"/>
      <c r="E200" s="112"/>
      <c r="F200" s="112"/>
      <c r="G200" s="117"/>
      <c r="H200" s="117"/>
      <c r="I200" s="117"/>
      <c r="J200" s="119"/>
      <c r="K200" s="119"/>
      <c r="L200" s="119"/>
    </row>
    <row r="201" spans="1:12" ht="25" customHeight="1" x14ac:dyDescent="0.35">
      <c r="A201" s="111"/>
      <c r="B201" s="111"/>
      <c r="C201" s="111"/>
      <c r="D201" s="112"/>
      <c r="E201" s="112"/>
      <c r="F201" s="112"/>
      <c r="G201" s="117"/>
      <c r="H201" s="117"/>
      <c r="I201" s="117"/>
      <c r="J201" s="119"/>
      <c r="K201" s="119"/>
      <c r="L201" s="119"/>
    </row>
    <row r="202" spans="1:12" ht="25" customHeight="1" x14ac:dyDescent="0.35">
      <c r="A202" s="111"/>
      <c r="B202" s="111"/>
      <c r="C202" s="111"/>
      <c r="D202" s="112"/>
      <c r="E202" s="112"/>
      <c r="F202" s="112"/>
      <c r="G202" s="117"/>
      <c r="H202" s="117"/>
      <c r="I202" s="117"/>
      <c r="J202" s="119"/>
      <c r="K202" s="119"/>
      <c r="L202" s="119"/>
    </row>
  </sheetData>
  <mergeCells count="4">
    <mergeCell ref="A4:C4"/>
    <mergeCell ref="D4:F4"/>
    <mergeCell ref="G4:I4"/>
    <mergeCell ref="J4:K4"/>
  </mergeCells>
  <conditionalFormatting sqref="J1:L1048576">
    <cfRule type="cellIs" dxfId="3" priority="1" operator="equal">
      <formula>2</formula>
    </cfRule>
    <cfRule type="cellIs" dxfId="2" priority="2" operator="equal">
      <formula>1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218"/>
  <sheetViews>
    <sheetView zoomScale="84" workbookViewId="0">
      <selection activeCell="F30" sqref="F30"/>
    </sheetView>
  </sheetViews>
  <sheetFormatPr defaultColWidth="8.81640625" defaultRowHeight="14.5" x14ac:dyDescent="0.35"/>
  <cols>
    <col min="2" max="2" width="8.6328125" style="121"/>
    <col min="3" max="3" width="20.1796875" style="108" customWidth="1"/>
    <col min="4" max="4" width="22.1796875" style="108" bestFit="1" customWidth="1"/>
    <col min="5" max="5" width="60.36328125" style="108" customWidth="1"/>
    <col min="6" max="6" width="38.81640625" style="108" customWidth="1"/>
  </cols>
  <sheetData>
    <row r="1" spans="2:6" x14ac:dyDescent="0.35">
      <c r="B1" s="541" t="s">
        <v>2194</v>
      </c>
      <c r="C1" s="541"/>
      <c r="D1" s="541"/>
      <c r="E1" s="541"/>
      <c r="F1" s="541"/>
    </row>
    <row r="2" spans="2:6" x14ac:dyDescent="0.35">
      <c r="B2" s="542" t="s">
        <v>2195</v>
      </c>
      <c r="C2" s="542"/>
      <c r="D2" s="542"/>
      <c r="E2" s="542"/>
      <c r="F2" s="542"/>
    </row>
    <row r="3" spans="2:6" x14ac:dyDescent="0.35">
      <c r="B3" s="178"/>
      <c r="C3" s="179" t="s">
        <v>2196</v>
      </c>
      <c r="D3" s="178"/>
      <c r="E3" s="178"/>
      <c r="F3" s="178"/>
    </row>
    <row r="4" spans="2:6" x14ac:dyDescent="0.35">
      <c r="B4" s="178"/>
      <c r="C4" s="179" t="s">
        <v>2197</v>
      </c>
      <c r="D4" s="178"/>
      <c r="E4" s="178"/>
      <c r="F4" s="178"/>
    </row>
    <row r="5" spans="2:6" x14ac:dyDescent="0.35">
      <c r="B5" s="178"/>
      <c r="C5" s="179"/>
      <c r="D5" s="178"/>
      <c r="E5" s="178"/>
      <c r="F5" s="178"/>
    </row>
    <row r="6" spans="2:6" x14ac:dyDescent="0.35">
      <c r="B6" s="180"/>
      <c r="C6" s="543" t="s">
        <v>2198</v>
      </c>
      <c r="D6" s="543"/>
      <c r="E6" s="543"/>
      <c r="F6" s="543"/>
    </row>
    <row r="7" spans="2:6" x14ac:dyDescent="0.35">
      <c r="B7" s="181"/>
      <c r="C7" s="182" t="s">
        <v>2199</v>
      </c>
      <c r="D7" s="182"/>
      <c r="E7" s="182"/>
      <c r="F7" s="181"/>
    </row>
    <row r="8" spans="2:6" x14ac:dyDescent="0.35">
      <c r="B8" s="181"/>
      <c r="C8" s="118" t="s">
        <v>2200</v>
      </c>
      <c r="D8" s="118"/>
      <c r="E8" s="118"/>
      <c r="F8" s="181"/>
    </row>
    <row r="9" spans="2:6" x14ac:dyDescent="0.35">
      <c r="B9" s="181"/>
      <c r="C9" s="182" t="s">
        <v>2201</v>
      </c>
      <c r="D9" s="182"/>
      <c r="E9" s="182"/>
      <c r="F9" s="181"/>
    </row>
    <row r="10" spans="2:6" x14ac:dyDescent="0.35">
      <c r="B10" s="183"/>
      <c r="C10" s="182" t="s">
        <v>2202</v>
      </c>
      <c r="D10" s="184"/>
      <c r="E10" s="184"/>
      <c r="F10" s="185"/>
    </row>
    <row r="11" spans="2:6" x14ac:dyDescent="0.35">
      <c r="B11" s="183"/>
      <c r="C11" s="182" t="s">
        <v>2203</v>
      </c>
      <c r="D11" s="184"/>
      <c r="E11" s="184"/>
      <c r="F11" s="185"/>
    </row>
    <row r="12" spans="2:6" x14ac:dyDescent="0.35">
      <c r="B12" s="183"/>
      <c r="C12" s="182" t="s">
        <v>2204</v>
      </c>
      <c r="D12" s="184"/>
      <c r="E12" s="184"/>
      <c r="F12" s="185"/>
    </row>
    <row r="13" spans="2:6" x14ac:dyDescent="0.35">
      <c r="B13" s="183"/>
      <c r="C13" s="182" t="s">
        <v>2205</v>
      </c>
      <c r="D13" s="184"/>
      <c r="E13" s="184"/>
      <c r="F13" s="185"/>
    </row>
    <row r="14" spans="2:6" x14ac:dyDescent="0.35">
      <c r="B14" s="183"/>
      <c r="C14" s="544" t="s">
        <v>2206</v>
      </c>
      <c r="D14" s="545"/>
      <c r="E14" s="546"/>
      <c r="F14" s="185"/>
    </row>
    <row r="15" spans="2:6" x14ac:dyDescent="0.35">
      <c r="B15" s="183"/>
      <c r="C15" s="182" t="s">
        <v>2207</v>
      </c>
      <c r="D15" s="186"/>
      <c r="E15" s="187"/>
      <c r="F15" s="185"/>
    </row>
    <row r="16" spans="2:6" x14ac:dyDescent="0.35">
      <c r="B16" s="183"/>
      <c r="C16" s="188" t="s">
        <v>2208</v>
      </c>
      <c r="D16" s="186"/>
      <c r="E16" s="187"/>
      <c r="F16" s="185"/>
    </row>
    <row r="17" spans="2:6" x14ac:dyDescent="0.35">
      <c r="B17" s="183"/>
      <c r="C17" s="188" t="s">
        <v>2209</v>
      </c>
      <c r="D17" s="186"/>
      <c r="E17" s="187"/>
      <c r="F17" s="185"/>
    </row>
    <row r="18" spans="2:6" x14ac:dyDescent="0.35">
      <c r="B18" s="183"/>
      <c r="C18" s="188" t="s">
        <v>2210</v>
      </c>
      <c r="D18" s="186"/>
      <c r="E18" s="187"/>
      <c r="F18" s="185"/>
    </row>
    <row r="19" spans="2:6" x14ac:dyDescent="0.35">
      <c r="B19" s="183"/>
      <c r="C19" s="189"/>
      <c r="D19" s="190"/>
      <c r="E19" s="191"/>
      <c r="F19" s="185"/>
    </row>
    <row r="20" spans="2:6" s="192" customFormat="1" x14ac:dyDescent="0.35">
      <c r="B20" s="193" t="s">
        <v>2211</v>
      </c>
      <c r="C20" s="194" t="s">
        <v>2</v>
      </c>
      <c r="D20" s="194" t="s">
        <v>2212</v>
      </c>
      <c r="E20" s="193" t="s">
        <v>2213</v>
      </c>
      <c r="F20" s="193" t="s">
        <v>2214</v>
      </c>
    </row>
    <row r="21" spans="2:6" s="192" customFormat="1" ht="28" x14ac:dyDescent="0.35">
      <c r="B21" s="183">
        <v>1</v>
      </c>
      <c r="C21" s="195" t="s">
        <v>2094</v>
      </c>
      <c r="D21" s="195" t="s">
        <v>2215</v>
      </c>
      <c r="E21" s="196" t="s">
        <v>2216</v>
      </c>
      <c r="F21" s="197" t="s">
        <v>2217</v>
      </c>
    </row>
    <row r="22" spans="2:6" ht="28.5" x14ac:dyDescent="0.35">
      <c r="B22" s="183"/>
      <c r="C22" s="185"/>
      <c r="D22" s="185"/>
      <c r="E22" s="198" t="s">
        <v>2218</v>
      </c>
      <c r="F22" s="185"/>
    </row>
    <row r="23" spans="2:6" x14ac:dyDescent="0.35">
      <c r="B23" s="183"/>
      <c r="C23" s="185"/>
      <c r="D23" s="185"/>
      <c r="E23" s="185" t="s">
        <v>2219</v>
      </c>
      <c r="F23" s="185"/>
    </row>
    <row r="24" spans="2:6" x14ac:dyDescent="0.35">
      <c r="B24" s="183"/>
      <c r="C24" s="185"/>
      <c r="D24" s="185"/>
      <c r="E24" s="184" t="s">
        <v>2220</v>
      </c>
      <c r="F24" s="185"/>
    </row>
    <row r="25" spans="2:6" x14ac:dyDescent="0.35">
      <c r="B25" s="183"/>
      <c r="C25" s="185"/>
      <c r="D25" s="185"/>
      <c r="E25" s="185" t="s">
        <v>2221</v>
      </c>
      <c r="F25" s="185"/>
    </row>
    <row r="26" spans="2:6" x14ac:dyDescent="0.35">
      <c r="B26" s="183"/>
      <c r="C26" s="185"/>
      <c r="D26" s="185"/>
      <c r="E26" s="199" t="s">
        <v>2222</v>
      </c>
      <c r="F26" s="185"/>
    </row>
    <row r="27" spans="2:6" x14ac:dyDescent="0.35">
      <c r="B27" s="183"/>
      <c r="C27" s="185"/>
      <c r="D27" s="185"/>
      <c r="E27" s="185"/>
      <c r="F27" s="185"/>
    </row>
    <row r="28" spans="2:6" x14ac:dyDescent="0.35">
      <c r="B28" s="183">
        <v>2</v>
      </c>
      <c r="C28" s="185" t="s">
        <v>2094</v>
      </c>
      <c r="D28" s="185" t="s">
        <v>2223</v>
      </c>
      <c r="E28" s="184" t="s">
        <v>2224</v>
      </c>
      <c r="F28" s="185"/>
    </row>
    <row r="29" spans="2:6" x14ac:dyDescent="0.35">
      <c r="B29" s="183"/>
      <c r="C29" s="185"/>
      <c r="D29" s="185"/>
      <c r="E29" s="184" t="s">
        <v>2225</v>
      </c>
      <c r="F29" s="185"/>
    </row>
    <row r="30" spans="2:6" x14ac:dyDescent="0.35">
      <c r="B30" s="183"/>
      <c r="C30" s="185"/>
      <c r="D30" s="185"/>
      <c r="E30" s="184" t="s">
        <v>2226</v>
      </c>
      <c r="F30" s="185"/>
    </row>
    <row r="31" spans="2:6" ht="185" customHeight="1" x14ac:dyDescent="0.35">
      <c r="B31" s="183"/>
      <c r="C31" s="185"/>
      <c r="D31" s="537"/>
      <c r="E31" s="538"/>
      <c r="F31" s="185"/>
    </row>
    <row r="32" spans="2:6" ht="185" customHeight="1" x14ac:dyDescent="0.35">
      <c r="B32" s="183"/>
      <c r="C32" s="185"/>
      <c r="D32" s="537"/>
      <c r="E32" s="538"/>
      <c r="F32" s="185"/>
    </row>
    <row r="33" spans="2:6" x14ac:dyDescent="0.35">
      <c r="B33" s="183"/>
      <c r="C33" s="185"/>
      <c r="D33" s="185"/>
      <c r="E33" s="185"/>
      <c r="F33" s="185"/>
    </row>
    <row r="34" spans="2:6" x14ac:dyDescent="0.35">
      <c r="B34" s="183">
        <v>3</v>
      </c>
      <c r="C34" s="185" t="s">
        <v>1983</v>
      </c>
      <c r="D34" s="185" t="s">
        <v>2227</v>
      </c>
      <c r="E34" s="199" t="s">
        <v>2228</v>
      </c>
      <c r="F34" s="184" t="s">
        <v>2229</v>
      </c>
    </row>
    <row r="35" spans="2:6" x14ac:dyDescent="0.35">
      <c r="B35" s="183"/>
      <c r="C35" s="185"/>
      <c r="D35" s="185"/>
      <c r="E35" s="185" t="s">
        <v>2230</v>
      </c>
      <c r="F35" s="185"/>
    </row>
    <row r="36" spans="2:6" x14ac:dyDescent="0.35">
      <c r="B36" s="183"/>
      <c r="C36" s="185"/>
      <c r="D36" s="185"/>
      <c r="E36" s="185"/>
      <c r="F36" s="185"/>
    </row>
    <row r="37" spans="2:6" x14ac:dyDescent="0.35">
      <c r="B37" s="183">
        <v>4</v>
      </c>
      <c r="C37" s="185" t="s">
        <v>1983</v>
      </c>
      <c r="D37" s="185" t="s">
        <v>2223</v>
      </c>
      <c r="E37" s="199" t="s">
        <v>2231</v>
      </c>
      <c r="F37" s="185"/>
    </row>
    <row r="38" spans="2:6" x14ac:dyDescent="0.35">
      <c r="B38" s="183"/>
      <c r="C38" s="185"/>
      <c r="D38" s="185"/>
      <c r="E38" s="184" t="s">
        <v>2232</v>
      </c>
      <c r="F38" s="185"/>
    </row>
    <row r="39" spans="2:6" ht="185" customHeight="1" x14ac:dyDescent="0.35">
      <c r="B39" s="183"/>
      <c r="C39" s="185"/>
      <c r="D39" s="537"/>
      <c r="E39" s="538"/>
      <c r="F39" s="185"/>
    </row>
    <row r="40" spans="2:6" x14ac:dyDescent="0.35">
      <c r="B40" s="183"/>
      <c r="C40" s="185"/>
      <c r="D40" s="185"/>
      <c r="E40" s="185"/>
      <c r="F40" s="185"/>
    </row>
    <row r="41" spans="2:6" x14ac:dyDescent="0.35">
      <c r="B41" s="183">
        <v>5</v>
      </c>
      <c r="C41" s="185" t="s">
        <v>2233</v>
      </c>
      <c r="D41" s="185" t="s">
        <v>2234</v>
      </c>
      <c r="E41" s="185" t="s">
        <v>2235</v>
      </c>
      <c r="F41" s="185"/>
    </row>
    <row r="42" spans="2:6" x14ac:dyDescent="0.35">
      <c r="B42" s="183"/>
      <c r="C42" s="185"/>
      <c r="D42" s="185"/>
      <c r="E42" s="185" t="s">
        <v>2236</v>
      </c>
      <c r="F42" s="185"/>
    </row>
    <row r="43" spans="2:6" x14ac:dyDescent="0.35">
      <c r="B43" s="183"/>
      <c r="C43" s="185"/>
      <c r="D43" s="185"/>
      <c r="E43" s="185"/>
      <c r="F43" s="185"/>
    </row>
    <row r="44" spans="2:6" x14ac:dyDescent="0.35">
      <c r="B44" s="183">
        <v>6</v>
      </c>
      <c r="C44" s="185" t="s">
        <v>2237</v>
      </c>
      <c r="D44" s="185"/>
      <c r="E44" s="184" t="s">
        <v>2238</v>
      </c>
      <c r="F44" s="185"/>
    </row>
    <row r="45" spans="2:6" x14ac:dyDescent="0.35">
      <c r="B45" s="183"/>
      <c r="C45" s="185"/>
      <c r="D45" s="185"/>
      <c r="E45" s="185"/>
      <c r="F45" s="185"/>
    </row>
    <row r="46" spans="2:6" x14ac:dyDescent="0.35">
      <c r="B46" s="183">
        <v>7</v>
      </c>
      <c r="C46" s="185" t="s">
        <v>2239</v>
      </c>
      <c r="D46" s="185" t="s">
        <v>2234</v>
      </c>
      <c r="E46" s="184" t="s">
        <v>2240</v>
      </c>
      <c r="F46" s="185"/>
    </row>
    <row r="47" spans="2:6" x14ac:dyDescent="0.35">
      <c r="B47" s="183"/>
      <c r="C47" s="185"/>
      <c r="D47" s="185"/>
      <c r="E47" s="185"/>
      <c r="F47" s="185"/>
    </row>
    <row r="48" spans="2:6" x14ac:dyDescent="0.35">
      <c r="B48" s="183">
        <v>8</v>
      </c>
      <c r="C48" s="185" t="s">
        <v>2241</v>
      </c>
      <c r="D48" s="185" t="s">
        <v>2215</v>
      </c>
      <c r="E48" s="185" t="s">
        <v>2242</v>
      </c>
      <c r="F48" s="184" t="s">
        <v>2229</v>
      </c>
    </row>
    <row r="49" spans="2:6" x14ac:dyDescent="0.35">
      <c r="B49" s="183"/>
      <c r="C49" s="185"/>
      <c r="D49" s="185"/>
      <c r="E49" s="199" t="s">
        <v>2243</v>
      </c>
      <c r="F49" s="185"/>
    </row>
    <row r="50" spans="2:6" x14ac:dyDescent="0.35">
      <c r="B50" s="183"/>
      <c r="C50" s="185"/>
      <c r="D50" s="185"/>
      <c r="E50" s="185"/>
      <c r="F50" s="185"/>
    </row>
    <row r="51" spans="2:6" x14ac:dyDescent="0.35">
      <c r="B51" s="183">
        <v>9</v>
      </c>
      <c r="C51" s="185" t="s">
        <v>2244</v>
      </c>
      <c r="D51" s="185" t="s">
        <v>2245</v>
      </c>
      <c r="E51" s="185" t="s">
        <v>2246</v>
      </c>
      <c r="F51" s="185"/>
    </row>
    <row r="52" spans="2:6" x14ac:dyDescent="0.35">
      <c r="B52" s="183"/>
      <c r="C52" s="185"/>
      <c r="D52" s="185"/>
      <c r="E52" s="185"/>
      <c r="F52" s="185"/>
    </row>
    <row r="53" spans="2:6" x14ac:dyDescent="0.35">
      <c r="B53" s="183">
        <v>10</v>
      </c>
      <c r="C53" s="185" t="s">
        <v>2247</v>
      </c>
      <c r="D53" s="185" t="s">
        <v>2223</v>
      </c>
      <c r="E53" s="185" t="s">
        <v>2248</v>
      </c>
      <c r="F53" s="185"/>
    </row>
    <row r="54" spans="2:6" x14ac:dyDescent="0.35">
      <c r="B54" s="183"/>
      <c r="C54" s="185"/>
      <c r="D54" s="185"/>
      <c r="E54" s="199" t="s">
        <v>2249</v>
      </c>
      <c r="F54" s="200"/>
    </row>
    <row r="55" spans="2:6" x14ac:dyDescent="0.35">
      <c r="B55" s="183"/>
      <c r="C55" s="185"/>
      <c r="D55" s="185"/>
      <c r="E55" s="185"/>
      <c r="F55" s="185"/>
    </row>
    <row r="56" spans="2:6" x14ac:dyDescent="0.35">
      <c r="B56" s="183">
        <v>11</v>
      </c>
      <c r="C56" s="185" t="s">
        <v>927</v>
      </c>
      <c r="D56" s="185" t="s">
        <v>2234</v>
      </c>
      <c r="E56" s="199" t="s">
        <v>2250</v>
      </c>
      <c r="F56" s="185"/>
    </row>
    <row r="57" spans="2:6" x14ac:dyDescent="0.35">
      <c r="B57" s="183"/>
      <c r="C57" s="185"/>
      <c r="D57" s="185"/>
      <c r="E57" s="185"/>
      <c r="F57" s="185"/>
    </row>
    <row r="58" spans="2:6" x14ac:dyDescent="0.35">
      <c r="B58" s="183">
        <v>12</v>
      </c>
      <c r="C58" s="185" t="s">
        <v>2251</v>
      </c>
      <c r="D58" s="185" t="s">
        <v>2215</v>
      </c>
      <c r="E58" s="185" t="s">
        <v>2252</v>
      </c>
      <c r="F58" s="185"/>
    </row>
    <row r="59" spans="2:6" x14ac:dyDescent="0.35">
      <c r="B59" s="183"/>
      <c r="C59" s="185"/>
      <c r="D59" s="185"/>
      <c r="E59" s="184" t="s">
        <v>2253</v>
      </c>
      <c r="F59" s="184" t="s">
        <v>2254</v>
      </c>
    </row>
    <row r="60" spans="2:6" x14ac:dyDescent="0.35">
      <c r="B60" s="183"/>
      <c r="C60" s="185"/>
      <c r="D60" s="185"/>
      <c r="E60" s="185"/>
      <c r="F60" s="185"/>
    </row>
    <row r="61" spans="2:6" x14ac:dyDescent="0.35">
      <c r="B61" s="183">
        <v>13</v>
      </c>
      <c r="C61" s="185" t="s">
        <v>2255</v>
      </c>
      <c r="D61" s="185" t="s">
        <v>2215</v>
      </c>
      <c r="E61" s="184" t="s">
        <v>2256</v>
      </c>
      <c r="F61" s="185"/>
    </row>
    <row r="62" spans="2:6" x14ac:dyDescent="0.35">
      <c r="B62" s="183"/>
      <c r="C62" s="185"/>
      <c r="D62" s="185"/>
      <c r="E62" s="184" t="s">
        <v>2253</v>
      </c>
      <c r="F62" s="184" t="s">
        <v>2257</v>
      </c>
    </row>
    <row r="63" spans="2:6" x14ac:dyDescent="0.35">
      <c r="B63" s="183"/>
      <c r="C63" s="185"/>
      <c r="D63" s="185"/>
      <c r="E63" s="185" t="s">
        <v>2250</v>
      </c>
      <c r="F63" s="185"/>
    </row>
    <row r="64" spans="2:6" ht="185" customHeight="1" x14ac:dyDescent="0.35">
      <c r="B64" s="183"/>
      <c r="C64" s="185"/>
      <c r="D64" s="537"/>
      <c r="E64" s="538"/>
      <c r="F64" s="185"/>
    </row>
    <row r="65" spans="2:6" x14ac:dyDescent="0.35">
      <c r="B65" s="183"/>
      <c r="C65" s="185"/>
      <c r="D65" s="201"/>
      <c r="E65" s="185"/>
      <c r="F65" s="185"/>
    </row>
    <row r="66" spans="2:6" x14ac:dyDescent="0.35">
      <c r="B66" s="183">
        <v>14</v>
      </c>
      <c r="C66" s="185" t="s">
        <v>2258</v>
      </c>
      <c r="D66" s="201" t="s">
        <v>2259</v>
      </c>
      <c r="E66" s="185" t="s">
        <v>2260</v>
      </c>
      <c r="F66" s="185"/>
    </row>
    <row r="67" spans="2:6" x14ac:dyDescent="0.35">
      <c r="B67" s="183"/>
      <c r="C67" s="185"/>
      <c r="D67" s="201"/>
      <c r="E67" s="199" t="s">
        <v>2261</v>
      </c>
      <c r="F67" s="185"/>
    </row>
    <row r="68" spans="2:6" x14ac:dyDescent="0.35">
      <c r="B68" s="183"/>
      <c r="C68" s="185"/>
      <c r="D68" s="201"/>
      <c r="E68" s="199" t="s">
        <v>2262</v>
      </c>
      <c r="F68" s="185"/>
    </row>
    <row r="69" spans="2:6" ht="185" customHeight="1" x14ac:dyDescent="0.35">
      <c r="B69" s="183"/>
      <c r="C69" s="185"/>
      <c r="D69" s="202"/>
      <c r="E69" s="201"/>
      <c r="F69" s="203" t="s">
        <v>2263</v>
      </c>
    </row>
    <row r="70" spans="2:6" x14ac:dyDescent="0.35">
      <c r="B70" s="183">
        <v>15</v>
      </c>
      <c r="C70" s="185" t="s">
        <v>2264</v>
      </c>
      <c r="D70" s="185" t="s">
        <v>2265</v>
      </c>
      <c r="E70" s="199" t="s">
        <v>2266</v>
      </c>
      <c r="F70" s="185"/>
    </row>
    <row r="71" spans="2:6" x14ac:dyDescent="0.35">
      <c r="B71" s="183"/>
      <c r="C71" s="185"/>
      <c r="D71" s="185"/>
      <c r="E71" s="199" t="s">
        <v>2267</v>
      </c>
      <c r="F71" s="185"/>
    </row>
    <row r="72" spans="2:6" x14ac:dyDescent="0.35">
      <c r="B72" s="183"/>
      <c r="C72" s="185"/>
      <c r="D72" s="185"/>
      <c r="E72" s="185"/>
      <c r="F72" s="185"/>
    </row>
    <row r="73" spans="2:6" x14ac:dyDescent="0.35">
      <c r="B73" s="183">
        <v>16</v>
      </c>
      <c r="C73" s="185" t="s">
        <v>2264</v>
      </c>
      <c r="D73" s="185" t="s">
        <v>2223</v>
      </c>
      <c r="E73" s="185" t="s">
        <v>2268</v>
      </c>
      <c r="F73" s="185"/>
    </row>
    <row r="74" spans="2:6" x14ac:dyDescent="0.35">
      <c r="B74" s="183"/>
      <c r="C74" s="185"/>
      <c r="D74" s="185"/>
      <c r="E74" s="199" t="s">
        <v>2269</v>
      </c>
      <c r="F74" s="185"/>
    </row>
    <row r="75" spans="2:6" x14ac:dyDescent="0.35">
      <c r="B75" s="183"/>
      <c r="C75" s="185"/>
      <c r="D75" s="185"/>
      <c r="E75" s="185"/>
      <c r="F75" s="185"/>
    </row>
    <row r="76" spans="2:6" x14ac:dyDescent="0.35">
      <c r="B76" s="183">
        <v>17</v>
      </c>
      <c r="C76" s="185" t="s">
        <v>2264</v>
      </c>
      <c r="D76" s="185" t="s">
        <v>2270</v>
      </c>
      <c r="E76" s="204" t="s">
        <v>2271</v>
      </c>
      <c r="F76" s="185"/>
    </row>
    <row r="77" spans="2:6" x14ac:dyDescent="0.35">
      <c r="B77" s="183"/>
      <c r="C77" s="185"/>
      <c r="D77" s="185"/>
      <c r="E77" s="204" t="s">
        <v>2272</v>
      </c>
      <c r="F77" s="185"/>
    </row>
    <row r="78" spans="2:6" x14ac:dyDescent="0.35">
      <c r="B78" s="183"/>
      <c r="C78" s="185"/>
      <c r="D78" s="185"/>
      <c r="E78" s="185"/>
      <c r="F78" s="185"/>
    </row>
    <row r="79" spans="2:6" x14ac:dyDescent="0.35">
      <c r="B79" s="183">
        <v>18</v>
      </c>
      <c r="C79" s="185" t="s">
        <v>2273</v>
      </c>
      <c r="D79" s="185" t="s">
        <v>2274</v>
      </c>
      <c r="E79" s="185" t="s">
        <v>2275</v>
      </c>
      <c r="F79" s="185"/>
    </row>
    <row r="80" spans="2:6" x14ac:dyDescent="0.35">
      <c r="B80" s="183"/>
      <c r="C80" s="185"/>
      <c r="D80" s="185"/>
      <c r="E80" s="185" t="s">
        <v>2276</v>
      </c>
      <c r="F80" s="185"/>
    </row>
    <row r="81" spans="2:6" x14ac:dyDescent="0.35">
      <c r="B81" s="183"/>
      <c r="C81" s="185"/>
      <c r="D81" s="185"/>
      <c r="E81" s="185" t="s">
        <v>2277</v>
      </c>
      <c r="F81" s="185"/>
    </row>
    <row r="82" spans="2:6" x14ac:dyDescent="0.35">
      <c r="B82" s="183"/>
      <c r="C82" s="185"/>
      <c r="D82" s="185"/>
      <c r="E82" s="185" t="s">
        <v>2278</v>
      </c>
      <c r="F82" s="185"/>
    </row>
    <row r="83" spans="2:6" x14ac:dyDescent="0.35">
      <c r="B83" s="183"/>
      <c r="C83" s="185"/>
      <c r="D83" s="185"/>
      <c r="E83" s="185" t="s">
        <v>2279</v>
      </c>
      <c r="F83" s="185"/>
    </row>
    <row r="84" spans="2:6" x14ac:dyDescent="0.35">
      <c r="B84" s="183"/>
      <c r="C84" s="185"/>
      <c r="D84" s="185"/>
      <c r="E84" s="185"/>
      <c r="F84" s="185"/>
    </row>
    <row r="85" spans="2:6" x14ac:dyDescent="0.35">
      <c r="B85" s="183">
        <v>19</v>
      </c>
      <c r="C85" s="185" t="s">
        <v>2273</v>
      </c>
      <c r="D85" s="185" t="s">
        <v>2234</v>
      </c>
      <c r="E85" s="185" t="s">
        <v>2280</v>
      </c>
      <c r="F85" s="185"/>
    </row>
    <row r="86" spans="2:6" x14ac:dyDescent="0.35">
      <c r="B86" s="183"/>
      <c r="C86" s="185"/>
      <c r="D86" s="185"/>
      <c r="E86" s="185" t="s">
        <v>2281</v>
      </c>
      <c r="F86" s="185"/>
    </row>
    <row r="87" spans="2:6" x14ac:dyDescent="0.35">
      <c r="B87" s="183"/>
      <c r="C87" s="185"/>
      <c r="D87" s="185"/>
      <c r="E87" s="185"/>
      <c r="F87" s="185"/>
    </row>
    <row r="88" spans="2:6" x14ac:dyDescent="0.35">
      <c r="B88" s="183">
        <v>20</v>
      </c>
      <c r="C88" s="185" t="s">
        <v>2282</v>
      </c>
      <c r="D88" s="185" t="s">
        <v>2283</v>
      </c>
      <c r="E88" s="185" t="s">
        <v>2284</v>
      </c>
      <c r="F88" s="185"/>
    </row>
    <row r="89" spans="2:6" x14ac:dyDescent="0.35">
      <c r="B89" s="183"/>
      <c r="C89" s="185"/>
      <c r="D89" s="185"/>
      <c r="E89" s="204" t="s">
        <v>2285</v>
      </c>
      <c r="F89" s="185"/>
    </row>
    <row r="90" spans="2:6" s="192" customFormat="1" ht="57" customHeight="1" x14ac:dyDescent="0.35">
      <c r="B90" s="183"/>
      <c r="C90" s="195"/>
      <c r="D90" s="195"/>
      <c r="E90" s="205" t="s">
        <v>2286</v>
      </c>
      <c r="F90" s="206" t="s">
        <v>2287</v>
      </c>
    </row>
    <row r="91" spans="2:6" x14ac:dyDescent="0.35">
      <c r="B91" s="183"/>
      <c r="C91" s="185"/>
      <c r="D91" s="185"/>
      <c r="E91" s="185" t="s">
        <v>2288</v>
      </c>
      <c r="F91" s="185"/>
    </row>
    <row r="92" spans="2:6" x14ac:dyDescent="0.35">
      <c r="B92" s="183"/>
      <c r="C92" s="185"/>
      <c r="D92" s="185"/>
      <c r="E92" s="185"/>
      <c r="F92" s="185"/>
    </row>
    <row r="93" spans="2:6" s="192" customFormat="1" ht="31.25" customHeight="1" x14ac:dyDescent="0.35">
      <c r="B93" s="183">
        <v>21</v>
      </c>
      <c r="C93" s="195" t="s">
        <v>2282</v>
      </c>
      <c r="D93" s="195" t="s">
        <v>2223</v>
      </c>
      <c r="E93" s="196" t="s">
        <v>2289</v>
      </c>
      <c r="F93" s="207" t="s">
        <v>2290</v>
      </c>
    </row>
    <row r="94" spans="2:6" ht="28" x14ac:dyDescent="0.35">
      <c r="B94" s="183"/>
      <c r="C94" s="185"/>
      <c r="D94" s="185"/>
      <c r="E94" s="196" t="s">
        <v>2291</v>
      </c>
      <c r="F94" s="208" t="s">
        <v>2292</v>
      </c>
    </row>
    <row r="95" spans="2:6" x14ac:dyDescent="0.35">
      <c r="B95" s="183"/>
      <c r="C95" s="185"/>
      <c r="D95" s="185"/>
      <c r="E95" s="199" t="s">
        <v>2293</v>
      </c>
      <c r="F95" s="185"/>
    </row>
    <row r="96" spans="2:6" x14ac:dyDescent="0.35">
      <c r="B96" s="183"/>
      <c r="C96" s="185"/>
      <c r="D96" s="185"/>
      <c r="E96" s="199" t="s">
        <v>2294</v>
      </c>
      <c r="F96" s="185"/>
    </row>
    <row r="97" spans="2:6" x14ac:dyDescent="0.35">
      <c r="B97" s="183"/>
      <c r="C97" s="185"/>
      <c r="D97" s="185"/>
      <c r="E97" s="185" t="s">
        <v>2295</v>
      </c>
      <c r="F97" s="185"/>
    </row>
    <row r="98" spans="2:6" x14ac:dyDescent="0.35">
      <c r="B98" s="183"/>
      <c r="C98" s="185"/>
      <c r="D98" s="185"/>
      <c r="E98" s="185"/>
      <c r="F98" s="185"/>
    </row>
    <row r="99" spans="2:6" x14ac:dyDescent="0.35">
      <c r="B99" s="183">
        <v>22</v>
      </c>
      <c r="C99" s="185" t="s">
        <v>2062</v>
      </c>
      <c r="D99" s="185" t="s">
        <v>2223</v>
      </c>
      <c r="E99" s="184" t="s">
        <v>2296</v>
      </c>
      <c r="F99" s="185"/>
    </row>
    <row r="100" spans="2:6" x14ac:dyDescent="0.35">
      <c r="B100" s="183"/>
      <c r="C100" s="185"/>
      <c r="D100" s="185"/>
      <c r="E100" s="184" t="s">
        <v>2297</v>
      </c>
      <c r="F100" s="185"/>
    </row>
    <row r="101" spans="2:6" x14ac:dyDescent="0.35">
      <c r="B101" s="183"/>
      <c r="C101" s="185"/>
      <c r="D101" s="185"/>
      <c r="E101" s="185" t="s">
        <v>2298</v>
      </c>
      <c r="F101" s="185"/>
    </row>
    <row r="102" spans="2:6" x14ac:dyDescent="0.35">
      <c r="B102" s="183"/>
      <c r="C102" s="185"/>
      <c r="D102" s="185"/>
      <c r="E102" s="185"/>
      <c r="F102" s="185"/>
    </row>
    <row r="103" spans="2:6" x14ac:dyDescent="0.35">
      <c r="B103" s="183">
        <v>23</v>
      </c>
      <c r="C103" s="185" t="s">
        <v>2062</v>
      </c>
      <c r="D103" s="185" t="s">
        <v>2215</v>
      </c>
      <c r="E103" s="199" t="s">
        <v>2299</v>
      </c>
      <c r="F103" s="185"/>
    </row>
    <row r="104" spans="2:6" x14ac:dyDescent="0.35">
      <c r="B104" s="183"/>
      <c r="C104" s="185"/>
      <c r="D104" s="185"/>
      <c r="E104" s="184" t="s">
        <v>2300</v>
      </c>
      <c r="F104" s="185"/>
    </row>
    <row r="105" spans="2:6" x14ac:dyDescent="0.35">
      <c r="B105" s="183"/>
      <c r="C105" s="185"/>
      <c r="D105" s="185"/>
      <c r="E105" s="184" t="s">
        <v>2253</v>
      </c>
      <c r="F105" s="184" t="s">
        <v>2254</v>
      </c>
    </row>
    <row r="106" spans="2:6" x14ac:dyDescent="0.35">
      <c r="B106" s="183"/>
      <c r="C106" s="185"/>
      <c r="D106" s="185"/>
      <c r="E106" s="184" t="s">
        <v>2301</v>
      </c>
      <c r="F106" s="185"/>
    </row>
    <row r="107" spans="2:6" x14ac:dyDescent="0.35">
      <c r="B107" s="183"/>
      <c r="C107" s="185"/>
      <c r="D107" s="209"/>
      <c r="E107" s="184" t="s">
        <v>2302</v>
      </c>
      <c r="F107" s="185"/>
    </row>
    <row r="108" spans="2:6" ht="185" customHeight="1" x14ac:dyDescent="0.35">
      <c r="B108" s="183"/>
      <c r="C108" s="185"/>
      <c r="D108" s="537"/>
      <c r="E108" s="538"/>
      <c r="F108" s="185"/>
    </row>
    <row r="109" spans="2:6" x14ac:dyDescent="0.35">
      <c r="B109" s="183"/>
      <c r="C109" s="185"/>
      <c r="D109" s="185"/>
      <c r="E109" s="185"/>
      <c r="F109" s="185"/>
    </row>
    <row r="110" spans="2:6" x14ac:dyDescent="0.35">
      <c r="B110" s="183">
        <v>24</v>
      </c>
      <c r="C110" s="185" t="s">
        <v>2303</v>
      </c>
      <c r="D110" s="185" t="s">
        <v>2223</v>
      </c>
      <c r="E110" s="184" t="s">
        <v>2304</v>
      </c>
      <c r="F110" s="185"/>
    </row>
    <row r="111" spans="2:6" x14ac:dyDescent="0.35">
      <c r="B111" s="183"/>
      <c r="C111" s="185"/>
      <c r="D111" s="185"/>
      <c r="E111" s="185" t="s">
        <v>2305</v>
      </c>
      <c r="F111" s="185"/>
    </row>
    <row r="112" spans="2:6" x14ac:dyDescent="0.35">
      <c r="B112" s="183"/>
      <c r="C112" s="185"/>
      <c r="D112" s="185"/>
      <c r="E112" s="185" t="s">
        <v>2306</v>
      </c>
      <c r="F112" s="185"/>
    </row>
    <row r="113" spans="2:6" x14ac:dyDescent="0.35">
      <c r="B113" s="183"/>
      <c r="C113" s="185"/>
      <c r="D113" s="185"/>
      <c r="E113" s="185" t="s">
        <v>2307</v>
      </c>
      <c r="F113" s="185"/>
    </row>
    <row r="114" spans="2:6" x14ac:dyDescent="0.35">
      <c r="B114" s="183"/>
      <c r="C114" s="185"/>
      <c r="D114" s="185"/>
      <c r="E114" s="185" t="s">
        <v>2308</v>
      </c>
      <c r="F114" s="185"/>
    </row>
    <row r="115" spans="2:6" x14ac:dyDescent="0.35">
      <c r="B115" s="183"/>
      <c r="C115" s="185"/>
      <c r="D115" s="185"/>
      <c r="E115" s="185"/>
      <c r="F115" s="185"/>
    </row>
    <row r="116" spans="2:6" x14ac:dyDescent="0.35">
      <c r="B116" s="183">
        <v>25</v>
      </c>
      <c r="C116" s="185" t="s">
        <v>2309</v>
      </c>
      <c r="D116" s="185" t="s">
        <v>2234</v>
      </c>
      <c r="E116" s="185" t="s">
        <v>2310</v>
      </c>
      <c r="F116" s="185"/>
    </row>
    <row r="117" spans="2:6" x14ac:dyDescent="0.35">
      <c r="B117" s="183"/>
      <c r="C117" s="185"/>
      <c r="D117" s="185"/>
      <c r="E117" s="185" t="s">
        <v>2311</v>
      </c>
      <c r="F117" s="185"/>
    </row>
    <row r="118" spans="2:6" x14ac:dyDescent="0.35">
      <c r="B118" s="183"/>
      <c r="C118" s="185"/>
      <c r="D118" s="185"/>
      <c r="E118" s="185" t="s">
        <v>2312</v>
      </c>
      <c r="F118" s="185"/>
    </row>
    <row r="119" spans="2:6" x14ac:dyDescent="0.35">
      <c r="B119" s="183"/>
      <c r="C119" s="185"/>
      <c r="D119" s="185"/>
      <c r="E119" s="185" t="s">
        <v>2313</v>
      </c>
      <c r="F119" s="185"/>
    </row>
    <row r="120" spans="2:6" x14ac:dyDescent="0.35">
      <c r="B120" s="183"/>
      <c r="C120" s="185"/>
      <c r="D120" s="185"/>
      <c r="E120" s="185" t="s">
        <v>2314</v>
      </c>
      <c r="F120" s="185"/>
    </row>
    <row r="121" spans="2:6" x14ac:dyDescent="0.35">
      <c r="B121" s="183"/>
      <c r="C121" s="185"/>
      <c r="D121" s="185"/>
      <c r="E121" s="185"/>
      <c r="F121" s="185"/>
    </row>
    <row r="122" spans="2:6" x14ac:dyDescent="0.35">
      <c r="B122" s="183">
        <v>26</v>
      </c>
      <c r="C122" s="185" t="s">
        <v>2047</v>
      </c>
      <c r="D122" s="185" t="s">
        <v>2223</v>
      </c>
      <c r="E122" s="199" t="s">
        <v>2315</v>
      </c>
      <c r="F122" s="185"/>
    </row>
    <row r="123" spans="2:6" ht="28.5" x14ac:dyDescent="0.35">
      <c r="B123" s="183"/>
      <c r="C123" s="185"/>
      <c r="D123" s="185"/>
      <c r="E123" s="210" t="s">
        <v>2316</v>
      </c>
      <c r="F123" s="185"/>
    </row>
    <row r="124" spans="2:6" x14ac:dyDescent="0.35">
      <c r="B124" s="183"/>
      <c r="C124" s="185"/>
      <c r="D124" s="185"/>
      <c r="E124" s="184" t="s">
        <v>2294</v>
      </c>
      <c r="F124" s="185"/>
    </row>
    <row r="125" spans="2:6" x14ac:dyDescent="0.35">
      <c r="B125" s="183"/>
      <c r="C125" s="185"/>
      <c r="D125" s="185"/>
      <c r="E125" s="185"/>
      <c r="F125" s="185"/>
    </row>
    <row r="126" spans="2:6" x14ac:dyDescent="0.35">
      <c r="B126" s="183">
        <v>27</v>
      </c>
      <c r="C126" s="185" t="s">
        <v>2047</v>
      </c>
      <c r="D126" s="185" t="s">
        <v>2317</v>
      </c>
      <c r="E126" s="185" t="s">
        <v>2318</v>
      </c>
      <c r="F126" s="185"/>
    </row>
    <row r="127" spans="2:6" x14ac:dyDescent="0.35">
      <c r="B127" s="183"/>
      <c r="C127" s="185"/>
      <c r="D127" s="185"/>
      <c r="E127" s="184" t="s">
        <v>2319</v>
      </c>
      <c r="F127" s="185" t="s">
        <v>2254</v>
      </c>
    </row>
    <row r="128" spans="2:6" x14ac:dyDescent="0.35">
      <c r="B128" s="183"/>
      <c r="C128" s="185"/>
      <c r="D128" s="185"/>
      <c r="E128" s="185"/>
      <c r="F128" s="185"/>
    </row>
    <row r="129" spans="2:6" x14ac:dyDescent="0.35">
      <c r="B129" s="183"/>
      <c r="C129" s="185" t="s">
        <v>2320</v>
      </c>
      <c r="D129" s="185"/>
      <c r="E129" s="201"/>
      <c r="F129" s="185"/>
    </row>
    <row r="130" spans="2:6" ht="185" customHeight="1" x14ac:dyDescent="0.35">
      <c r="B130" s="183"/>
      <c r="C130" s="185"/>
      <c r="D130" s="537"/>
      <c r="E130" s="538"/>
      <c r="F130" s="185"/>
    </row>
    <row r="131" spans="2:6" ht="185" customHeight="1" x14ac:dyDescent="0.35">
      <c r="B131" s="183"/>
      <c r="C131" s="185"/>
      <c r="D131" s="537"/>
      <c r="E131" s="538"/>
      <c r="F131" s="185"/>
    </row>
    <row r="132" spans="2:6" ht="185" customHeight="1" x14ac:dyDescent="0.35">
      <c r="B132" s="183"/>
      <c r="C132" s="185"/>
      <c r="D132" s="537"/>
      <c r="E132" s="538"/>
      <c r="F132" s="185"/>
    </row>
    <row r="133" spans="2:6" ht="185" customHeight="1" x14ac:dyDescent="0.35">
      <c r="B133" s="183"/>
      <c r="C133" s="185"/>
      <c r="D133" s="537"/>
      <c r="E133" s="538"/>
      <c r="F133" s="185"/>
    </row>
    <row r="134" spans="2:6" ht="185" customHeight="1" x14ac:dyDescent="0.35">
      <c r="B134" s="183"/>
      <c r="C134" s="185"/>
      <c r="D134" s="537"/>
      <c r="E134" s="538"/>
      <c r="F134" s="185"/>
    </row>
    <row r="135" spans="2:6" ht="185" customHeight="1" x14ac:dyDescent="0.35">
      <c r="B135" s="183"/>
      <c r="C135" s="185"/>
      <c r="D135" s="540"/>
      <c r="E135" s="538"/>
      <c r="F135" s="185"/>
    </row>
    <row r="136" spans="2:6" x14ac:dyDescent="0.35">
      <c r="B136" s="183">
        <v>28</v>
      </c>
      <c r="C136" s="185" t="s">
        <v>383</v>
      </c>
      <c r="D136" s="201" t="s">
        <v>2223</v>
      </c>
      <c r="E136" s="184" t="s">
        <v>2321</v>
      </c>
      <c r="F136" s="185"/>
    </row>
    <row r="137" spans="2:6" x14ac:dyDescent="0.35">
      <c r="B137" s="183"/>
      <c r="C137" s="185"/>
      <c r="D137" s="201"/>
      <c r="E137" s="185" t="s">
        <v>2322</v>
      </c>
      <c r="F137" s="185"/>
    </row>
    <row r="138" spans="2:6" ht="185" customHeight="1" x14ac:dyDescent="0.35">
      <c r="B138" s="183"/>
      <c r="C138" s="185"/>
      <c r="D138" s="540"/>
      <c r="E138" s="538"/>
      <c r="F138" s="185"/>
    </row>
    <row r="139" spans="2:6" x14ac:dyDescent="0.35">
      <c r="B139" s="183">
        <v>29</v>
      </c>
      <c r="C139" s="185" t="s">
        <v>383</v>
      </c>
      <c r="D139" s="185" t="s">
        <v>2323</v>
      </c>
      <c r="E139" s="184" t="s">
        <v>2324</v>
      </c>
      <c r="F139" s="185"/>
    </row>
    <row r="140" spans="2:6" ht="42" x14ac:dyDescent="0.35">
      <c r="B140" s="183"/>
      <c r="C140" s="185"/>
      <c r="D140" s="185"/>
      <c r="E140" s="195" t="s">
        <v>2325</v>
      </c>
      <c r="F140" s="203" t="s">
        <v>2326</v>
      </c>
    </row>
    <row r="141" spans="2:6" x14ac:dyDescent="0.35">
      <c r="B141" s="183"/>
      <c r="C141" s="185"/>
      <c r="D141" s="185"/>
      <c r="E141" s="199" t="s">
        <v>2327</v>
      </c>
      <c r="F141" s="185"/>
    </row>
    <row r="142" spans="2:6" ht="185" customHeight="1" x14ac:dyDescent="0.35">
      <c r="B142" s="183"/>
      <c r="C142" s="185"/>
      <c r="D142" s="537"/>
      <c r="E142" s="538"/>
      <c r="F142" s="185"/>
    </row>
    <row r="143" spans="2:6" ht="185" customHeight="1" x14ac:dyDescent="0.35">
      <c r="B143" s="183"/>
      <c r="C143" s="185"/>
      <c r="D143" s="537"/>
      <c r="E143" s="538"/>
      <c r="F143" s="185"/>
    </row>
    <row r="144" spans="2:6" x14ac:dyDescent="0.35">
      <c r="B144" s="183">
        <v>30</v>
      </c>
      <c r="C144" s="185" t="s">
        <v>2328</v>
      </c>
      <c r="D144" s="185" t="s">
        <v>2270</v>
      </c>
      <c r="E144" s="185" t="s">
        <v>2329</v>
      </c>
      <c r="F144" s="185"/>
    </row>
    <row r="145" spans="2:6" x14ac:dyDescent="0.35">
      <c r="B145" s="183"/>
      <c r="C145" s="185"/>
      <c r="D145" s="185"/>
      <c r="E145" s="211" t="s">
        <v>2330</v>
      </c>
      <c r="F145" s="185"/>
    </row>
    <row r="146" spans="2:6" x14ac:dyDescent="0.35">
      <c r="B146" s="183"/>
      <c r="C146" s="185"/>
      <c r="D146" s="185"/>
      <c r="E146" s="185" t="s">
        <v>2331</v>
      </c>
      <c r="F146" s="185"/>
    </row>
    <row r="147" spans="2:6" x14ac:dyDescent="0.35">
      <c r="B147" s="183"/>
      <c r="C147" s="185"/>
      <c r="D147" s="185"/>
      <c r="E147" s="185" t="s">
        <v>2332</v>
      </c>
      <c r="F147" s="185"/>
    </row>
    <row r="148" spans="2:6" x14ac:dyDescent="0.35">
      <c r="B148" s="183"/>
      <c r="C148" s="185"/>
      <c r="D148" s="185"/>
      <c r="E148" s="185" t="s">
        <v>2333</v>
      </c>
      <c r="F148" s="185"/>
    </row>
    <row r="149" spans="2:6" x14ac:dyDescent="0.35">
      <c r="B149" s="183"/>
      <c r="C149" s="185"/>
      <c r="D149" s="185"/>
      <c r="E149" s="212" t="s">
        <v>2334</v>
      </c>
      <c r="F149" s="185"/>
    </row>
    <row r="150" spans="2:6" ht="185" customHeight="1" x14ac:dyDescent="0.35">
      <c r="B150" s="183"/>
      <c r="C150" s="185"/>
      <c r="D150" s="537"/>
      <c r="E150" s="538"/>
      <c r="F150" s="185"/>
    </row>
    <row r="151" spans="2:6" x14ac:dyDescent="0.35">
      <c r="B151" s="183">
        <v>31</v>
      </c>
      <c r="C151" s="185" t="s">
        <v>2335</v>
      </c>
      <c r="D151" s="185" t="s">
        <v>2336</v>
      </c>
      <c r="E151" s="185" t="s">
        <v>2337</v>
      </c>
      <c r="F151" s="185"/>
    </row>
    <row r="152" spans="2:6" x14ac:dyDescent="0.35">
      <c r="B152" s="183"/>
      <c r="C152" s="185"/>
      <c r="D152" s="185"/>
      <c r="E152" s="185"/>
      <c r="F152" s="185"/>
    </row>
    <row r="153" spans="2:6" s="192" customFormat="1" ht="28" x14ac:dyDescent="0.35">
      <c r="B153" s="183">
        <v>32</v>
      </c>
      <c r="C153" s="195" t="s">
        <v>2335</v>
      </c>
      <c r="D153" s="195" t="s">
        <v>2215</v>
      </c>
      <c r="E153" s="213" t="s">
        <v>2338</v>
      </c>
      <c r="F153" s="214" t="s">
        <v>2339</v>
      </c>
    </row>
    <row r="154" spans="2:6" ht="28.5" x14ac:dyDescent="0.35">
      <c r="B154" s="183"/>
      <c r="C154" s="185"/>
      <c r="D154" s="185"/>
      <c r="E154" s="215" t="s">
        <v>2206</v>
      </c>
      <c r="F154" s="185"/>
    </row>
    <row r="155" spans="2:6" x14ac:dyDescent="0.35">
      <c r="B155" s="183"/>
      <c r="C155" s="185"/>
      <c r="D155" s="185"/>
      <c r="E155" s="199" t="s">
        <v>2340</v>
      </c>
      <c r="F155" s="185"/>
    </row>
    <row r="156" spans="2:6" x14ac:dyDescent="0.35">
      <c r="B156" s="183"/>
      <c r="C156" s="185"/>
      <c r="D156" s="185"/>
      <c r="E156" s="204" t="s">
        <v>2319</v>
      </c>
      <c r="F156" s="185"/>
    </row>
    <row r="157" spans="2:6" ht="160" customHeight="1" x14ac:dyDescent="0.35">
      <c r="B157" s="183"/>
      <c r="C157" s="185"/>
      <c r="D157" s="537"/>
      <c r="E157" s="538"/>
      <c r="F157" s="185"/>
    </row>
    <row r="158" spans="2:6" ht="160" customHeight="1" x14ac:dyDescent="0.35">
      <c r="B158" s="183"/>
      <c r="C158" s="185"/>
      <c r="D158" s="537"/>
      <c r="E158" s="538"/>
      <c r="F158" s="185"/>
    </row>
    <row r="159" spans="2:6" x14ac:dyDescent="0.35">
      <c r="B159" s="183">
        <v>33</v>
      </c>
      <c r="C159" s="185" t="s">
        <v>2303</v>
      </c>
      <c r="D159" s="185" t="s">
        <v>2336</v>
      </c>
      <c r="E159" s="204" t="s">
        <v>2341</v>
      </c>
      <c r="F159" s="185"/>
    </row>
    <row r="160" spans="2:6" x14ac:dyDescent="0.35">
      <c r="B160" s="183"/>
      <c r="C160" s="185"/>
      <c r="D160" s="185"/>
      <c r="E160" s="185" t="s">
        <v>2342</v>
      </c>
      <c r="F160" s="185"/>
    </row>
    <row r="161" spans="2:6" x14ac:dyDescent="0.35">
      <c r="B161" s="183"/>
      <c r="C161" s="185"/>
      <c r="D161" s="185"/>
      <c r="E161" s="199" t="s">
        <v>2343</v>
      </c>
      <c r="F161" s="185"/>
    </row>
    <row r="162" spans="2:6" x14ac:dyDescent="0.35">
      <c r="B162" s="183"/>
      <c r="C162" s="185"/>
      <c r="D162" s="185"/>
      <c r="E162" s="185" t="s">
        <v>2344</v>
      </c>
      <c r="F162" s="185"/>
    </row>
    <row r="163" spans="2:6" ht="160" customHeight="1" x14ac:dyDescent="0.35">
      <c r="B163" s="183"/>
      <c r="C163" s="185"/>
      <c r="D163" s="537"/>
      <c r="E163" s="538"/>
      <c r="F163" s="185"/>
    </row>
    <row r="164" spans="2:6" x14ac:dyDescent="0.35">
      <c r="B164" s="183"/>
      <c r="C164" s="185"/>
      <c r="D164" s="185"/>
      <c r="E164" s="185"/>
      <c r="F164" s="185"/>
    </row>
    <row r="165" spans="2:6" x14ac:dyDescent="0.35">
      <c r="B165" s="183">
        <v>34</v>
      </c>
      <c r="C165" s="185" t="s">
        <v>436</v>
      </c>
      <c r="D165" s="185" t="s">
        <v>2223</v>
      </c>
      <c r="E165" s="184" t="s">
        <v>2345</v>
      </c>
      <c r="F165" s="185" t="s">
        <v>2346</v>
      </c>
    </row>
    <row r="166" spans="2:6" x14ac:dyDescent="0.35">
      <c r="B166" s="183"/>
      <c r="C166" s="185"/>
      <c r="D166" s="185"/>
      <c r="E166" s="184" t="s">
        <v>2347</v>
      </c>
      <c r="F166" s="185"/>
    </row>
    <row r="167" spans="2:6" x14ac:dyDescent="0.35">
      <c r="B167" s="183"/>
      <c r="C167" s="185"/>
      <c r="D167" s="185"/>
      <c r="E167" s="185" t="s">
        <v>2348</v>
      </c>
      <c r="F167" s="185"/>
    </row>
    <row r="168" spans="2:6" ht="160" customHeight="1" x14ac:dyDescent="0.35">
      <c r="B168" s="183"/>
      <c r="C168" s="185"/>
      <c r="D168" s="537"/>
      <c r="E168" s="538"/>
      <c r="F168" s="185"/>
    </row>
    <row r="169" spans="2:6" x14ac:dyDescent="0.35">
      <c r="B169" s="183"/>
      <c r="C169" s="185"/>
      <c r="D169" s="185"/>
      <c r="E169" s="185"/>
      <c r="F169" s="185"/>
    </row>
    <row r="170" spans="2:6" x14ac:dyDescent="0.35">
      <c r="B170" s="183">
        <v>35</v>
      </c>
      <c r="C170" s="185" t="s">
        <v>436</v>
      </c>
      <c r="D170" s="185" t="s">
        <v>2234</v>
      </c>
      <c r="E170" s="184" t="s">
        <v>2349</v>
      </c>
      <c r="F170" s="185" t="s">
        <v>2350</v>
      </c>
    </row>
    <row r="171" spans="2:6" x14ac:dyDescent="0.35">
      <c r="B171" s="183"/>
      <c r="C171" s="185"/>
      <c r="D171" s="185"/>
      <c r="E171" s="184" t="s">
        <v>2351</v>
      </c>
      <c r="F171" s="185"/>
    </row>
    <row r="172" spans="2:6" x14ac:dyDescent="0.35">
      <c r="B172" s="183"/>
      <c r="C172" s="185"/>
      <c r="D172" s="185"/>
      <c r="E172" s="184" t="s">
        <v>2352</v>
      </c>
      <c r="F172" s="185"/>
    </row>
    <row r="173" spans="2:6" x14ac:dyDescent="0.35">
      <c r="B173" s="183"/>
      <c r="C173" s="185"/>
      <c r="D173" s="185"/>
      <c r="E173" s="199" t="s">
        <v>2231</v>
      </c>
      <c r="F173" s="185"/>
    </row>
    <row r="174" spans="2:6" ht="160" customHeight="1" x14ac:dyDescent="0.35">
      <c r="B174" s="183"/>
      <c r="C174" s="185"/>
      <c r="D174" s="540"/>
      <c r="E174" s="538"/>
      <c r="F174" s="185"/>
    </row>
    <row r="175" spans="2:6" x14ac:dyDescent="0.35">
      <c r="B175" s="183">
        <v>36</v>
      </c>
      <c r="C175" s="185" t="s">
        <v>436</v>
      </c>
      <c r="D175" s="185" t="s">
        <v>2336</v>
      </c>
      <c r="E175" s="199" t="s">
        <v>2353</v>
      </c>
      <c r="F175" s="185"/>
    </row>
    <row r="176" spans="2:6" x14ac:dyDescent="0.35">
      <c r="B176" s="183"/>
      <c r="C176" s="185"/>
      <c r="D176" s="185"/>
      <c r="E176" s="185" t="s">
        <v>2354</v>
      </c>
      <c r="F176" s="185"/>
    </row>
    <row r="177" spans="2:6" x14ac:dyDescent="0.35">
      <c r="B177" s="183"/>
      <c r="C177" s="185"/>
      <c r="D177" s="185"/>
      <c r="E177" s="185" t="s">
        <v>2355</v>
      </c>
      <c r="F177" s="185"/>
    </row>
    <row r="178" spans="2:6" x14ac:dyDescent="0.35">
      <c r="B178" s="183"/>
      <c r="C178" s="185"/>
      <c r="D178" s="185"/>
      <c r="E178" s="185" t="s">
        <v>2356</v>
      </c>
      <c r="F178" s="185"/>
    </row>
    <row r="179" spans="2:6" ht="160" customHeight="1" x14ac:dyDescent="0.35">
      <c r="B179" s="183"/>
      <c r="C179" s="185"/>
      <c r="D179" s="537"/>
      <c r="E179" s="538"/>
      <c r="F179" s="185"/>
    </row>
    <row r="180" spans="2:6" x14ac:dyDescent="0.35">
      <c r="B180" s="183"/>
      <c r="C180" s="185"/>
      <c r="D180" s="185"/>
      <c r="E180" s="185"/>
      <c r="F180" s="185"/>
    </row>
    <row r="181" spans="2:6" x14ac:dyDescent="0.35">
      <c r="B181" s="183">
        <v>37</v>
      </c>
      <c r="C181" s="185" t="s">
        <v>1694</v>
      </c>
      <c r="D181" s="185" t="s">
        <v>2234</v>
      </c>
      <c r="E181" s="199" t="s">
        <v>2357</v>
      </c>
      <c r="F181" s="185" t="s">
        <v>2358</v>
      </c>
    </row>
    <row r="182" spans="2:6" x14ac:dyDescent="0.35">
      <c r="B182" s="183"/>
      <c r="C182" s="185"/>
      <c r="D182" s="185"/>
      <c r="E182" s="184" t="s">
        <v>2359</v>
      </c>
      <c r="F182" s="185"/>
    </row>
    <row r="183" spans="2:6" x14ac:dyDescent="0.35">
      <c r="B183" s="183"/>
      <c r="C183" s="185"/>
      <c r="D183" s="185"/>
      <c r="E183" s="185" t="s">
        <v>2360</v>
      </c>
      <c r="F183" s="185"/>
    </row>
    <row r="184" spans="2:6" x14ac:dyDescent="0.35">
      <c r="B184" s="183"/>
      <c r="C184" s="185"/>
      <c r="D184" s="185"/>
      <c r="E184" s="184" t="s">
        <v>2361</v>
      </c>
      <c r="F184" s="185"/>
    </row>
    <row r="185" spans="2:6" x14ac:dyDescent="0.35">
      <c r="B185" s="183"/>
      <c r="C185" s="185"/>
      <c r="D185" s="185"/>
      <c r="E185" s="185"/>
      <c r="F185" s="185"/>
    </row>
    <row r="186" spans="2:6" ht="160" customHeight="1" x14ac:dyDescent="0.35">
      <c r="B186" s="183"/>
      <c r="C186" s="185"/>
      <c r="D186" s="537"/>
      <c r="E186" s="538"/>
      <c r="F186" s="185"/>
    </row>
    <row r="187" spans="2:6" ht="160" customHeight="1" x14ac:dyDescent="0.35">
      <c r="B187" s="183"/>
      <c r="C187" s="185"/>
      <c r="D187" s="537"/>
      <c r="E187" s="538"/>
      <c r="F187" s="185"/>
    </row>
    <row r="188" spans="2:6" x14ac:dyDescent="0.35">
      <c r="B188" s="183"/>
      <c r="C188" s="185"/>
      <c r="D188" s="185"/>
      <c r="E188" s="185"/>
      <c r="F188" s="185"/>
    </row>
    <row r="189" spans="2:6" x14ac:dyDescent="0.35">
      <c r="B189" s="183">
        <v>38</v>
      </c>
      <c r="C189" s="185" t="s">
        <v>1694</v>
      </c>
      <c r="D189" s="185" t="s">
        <v>2223</v>
      </c>
      <c r="E189" s="199" t="s">
        <v>2362</v>
      </c>
      <c r="F189" s="185"/>
    </row>
    <row r="190" spans="2:6" x14ac:dyDescent="0.35">
      <c r="B190" s="183"/>
      <c r="C190" s="185"/>
      <c r="D190" s="185"/>
      <c r="E190" s="185" t="s">
        <v>2357</v>
      </c>
      <c r="F190" s="185"/>
    </row>
    <row r="191" spans="2:6" x14ac:dyDescent="0.35">
      <c r="B191" s="183"/>
      <c r="C191" s="185"/>
      <c r="D191" s="185"/>
      <c r="E191" s="185" t="s">
        <v>2363</v>
      </c>
      <c r="F191" s="185"/>
    </row>
    <row r="192" spans="2:6" x14ac:dyDescent="0.35">
      <c r="B192" s="183"/>
      <c r="C192" s="185"/>
      <c r="D192" s="185"/>
      <c r="E192" s="184" t="s">
        <v>2272</v>
      </c>
      <c r="F192" s="185"/>
    </row>
    <row r="193" spans="2:6" x14ac:dyDescent="0.35">
      <c r="B193" s="183"/>
      <c r="C193" s="185"/>
      <c r="D193" s="185"/>
      <c r="E193" s="184" t="s">
        <v>2364</v>
      </c>
      <c r="F193" s="185"/>
    </row>
    <row r="194" spans="2:6" x14ac:dyDescent="0.35">
      <c r="B194" s="183"/>
      <c r="C194" s="185"/>
      <c r="D194" s="185"/>
      <c r="E194" s="199" t="s">
        <v>2365</v>
      </c>
      <c r="F194" s="185"/>
    </row>
    <row r="195" spans="2:6" ht="160" customHeight="1" x14ac:dyDescent="0.35">
      <c r="B195" s="183"/>
      <c r="C195" s="185"/>
      <c r="D195" s="540"/>
      <c r="E195" s="538"/>
      <c r="F195" s="185"/>
    </row>
    <row r="196" spans="2:6" ht="160" customHeight="1" x14ac:dyDescent="0.35">
      <c r="B196" s="183"/>
      <c r="C196" s="185"/>
      <c r="D196" s="537"/>
      <c r="E196" s="538"/>
      <c r="F196" s="185"/>
    </row>
    <row r="197" spans="2:6" x14ac:dyDescent="0.35">
      <c r="B197" s="183"/>
      <c r="C197" s="185"/>
      <c r="D197" s="185"/>
      <c r="E197" s="185"/>
      <c r="F197" s="185"/>
    </row>
    <row r="198" spans="2:6" x14ac:dyDescent="0.35">
      <c r="B198" s="183">
        <v>39</v>
      </c>
      <c r="C198" s="185" t="s">
        <v>2366</v>
      </c>
      <c r="D198" s="185" t="s">
        <v>2336</v>
      </c>
      <c r="E198" s="185" t="s">
        <v>2367</v>
      </c>
      <c r="F198" s="185"/>
    </row>
    <row r="199" spans="2:6" x14ac:dyDescent="0.35">
      <c r="B199" s="183"/>
      <c r="C199" s="185"/>
      <c r="D199" s="185"/>
      <c r="E199" s="185" t="s">
        <v>2368</v>
      </c>
      <c r="F199" s="185"/>
    </row>
    <row r="200" spans="2:6" ht="160" customHeight="1" x14ac:dyDescent="0.35">
      <c r="B200" s="183"/>
      <c r="C200" s="185"/>
      <c r="D200" s="537"/>
      <c r="E200" s="538"/>
      <c r="F200" s="185"/>
    </row>
    <row r="201" spans="2:6" x14ac:dyDescent="0.35">
      <c r="B201" s="183"/>
      <c r="C201" s="185"/>
      <c r="D201" s="185"/>
      <c r="E201" s="185"/>
      <c r="F201" s="185"/>
    </row>
    <row r="202" spans="2:6" x14ac:dyDescent="0.35">
      <c r="B202" s="183">
        <v>40</v>
      </c>
      <c r="C202" s="185" t="s">
        <v>2369</v>
      </c>
      <c r="D202" s="185" t="s">
        <v>2270</v>
      </c>
      <c r="E202" s="184" t="s">
        <v>2370</v>
      </c>
      <c r="F202" s="185"/>
    </row>
    <row r="203" spans="2:6" x14ac:dyDescent="0.35">
      <c r="B203" s="183"/>
      <c r="C203" s="185"/>
      <c r="D203" s="185"/>
      <c r="E203" s="184" t="s">
        <v>2371</v>
      </c>
      <c r="F203" s="185"/>
    </row>
    <row r="204" spans="2:6" x14ac:dyDescent="0.35">
      <c r="B204" s="183"/>
      <c r="C204" s="185"/>
      <c r="D204" s="185"/>
      <c r="E204" s="199" t="s">
        <v>2372</v>
      </c>
      <c r="F204" s="185"/>
    </row>
    <row r="205" spans="2:6" x14ac:dyDescent="0.35">
      <c r="B205" s="183"/>
      <c r="C205" s="185"/>
      <c r="D205" s="185"/>
      <c r="E205" s="184" t="s">
        <v>2373</v>
      </c>
      <c r="F205" s="185"/>
    </row>
    <row r="206" spans="2:6" x14ac:dyDescent="0.35">
      <c r="B206" s="183"/>
      <c r="C206" s="185"/>
      <c r="D206" s="185"/>
      <c r="E206" s="185" t="s">
        <v>2374</v>
      </c>
      <c r="F206" s="185"/>
    </row>
    <row r="207" spans="2:6" ht="160" customHeight="1" x14ac:dyDescent="0.35">
      <c r="B207" s="183"/>
      <c r="C207" s="185"/>
      <c r="D207" s="537"/>
      <c r="E207" s="538"/>
      <c r="F207" s="185"/>
    </row>
    <row r="208" spans="2:6" x14ac:dyDescent="0.35">
      <c r="B208" s="183"/>
      <c r="C208" s="185"/>
      <c r="D208" s="185"/>
      <c r="E208" s="185"/>
      <c r="F208" s="185"/>
    </row>
    <row r="209" spans="2:6" x14ac:dyDescent="0.35">
      <c r="B209" s="183">
        <v>41</v>
      </c>
      <c r="C209" s="185" t="s">
        <v>2369</v>
      </c>
      <c r="D209" s="185" t="s">
        <v>2223</v>
      </c>
      <c r="E209" s="199" t="s">
        <v>2375</v>
      </c>
      <c r="F209" s="185"/>
    </row>
    <row r="210" spans="2:6" x14ac:dyDescent="0.35">
      <c r="B210" s="183"/>
      <c r="C210" s="185"/>
      <c r="D210" s="185"/>
      <c r="E210" s="184" t="s">
        <v>2371</v>
      </c>
      <c r="F210" s="185"/>
    </row>
    <row r="211" spans="2:6" x14ac:dyDescent="0.35">
      <c r="B211" s="183"/>
      <c r="C211" s="185"/>
      <c r="D211" s="185"/>
      <c r="E211" s="185" t="s">
        <v>2376</v>
      </c>
      <c r="F211" s="185"/>
    </row>
    <row r="212" spans="2:6" x14ac:dyDescent="0.35">
      <c r="B212" s="183"/>
      <c r="C212" s="185"/>
      <c r="D212" s="185"/>
      <c r="E212" s="185" t="s">
        <v>2377</v>
      </c>
      <c r="F212" s="185" t="s">
        <v>2378</v>
      </c>
    </row>
    <row r="213" spans="2:6" ht="160" customHeight="1" x14ac:dyDescent="0.35">
      <c r="B213" s="183"/>
      <c r="C213" s="185"/>
      <c r="D213" s="537"/>
      <c r="E213" s="538"/>
      <c r="F213" s="185"/>
    </row>
    <row r="214" spans="2:6" ht="160" customHeight="1" x14ac:dyDescent="0.35">
      <c r="B214" s="183"/>
      <c r="C214" s="185"/>
      <c r="D214" s="537"/>
      <c r="E214" s="538"/>
      <c r="F214" s="185"/>
    </row>
    <row r="217" spans="2:6" x14ac:dyDescent="0.35">
      <c r="F217" s="216" t="s">
        <v>2379</v>
      </c>
    </row>
    <row r="218" spans="2:6" x14ac:dyDescent="0.35">
      <c r="B218" s="539" t="s">
        <v>2380</v>
      </c>
      <c r="C218" s="539"/>
      <c r="D218" s="539"/>
      <c r="E218" s="539"/>
      <c r="F218" s="539"/>
    </row>
  </sheetData>
  <mergeCells count="34">
    <mergeCell ref="B1:F1"/>
    <mergeCell ref="B2:F2"/>
    <mergeCell ref="C6:F6"/>
    <mergeCell ref="C14:E14"/>
    <mergeCell ref="D31:E31"/>
    <mergeCell ref="D32:E32"/>
    <mergeCell ref="D39:E39"/>
    <mergeCell ref="D64:E64"/>
    <mergeCell ref="D108:E108"/>
    <mergeCell ref="D130:E130"/>
    <mergeCell ref="D131:E131"/>
    <mergeCell ref="D132:E132"/>
    <mergeCell ref="D133:E133"/>
    <mergeCell ref="D134:E134"/>
    <mergeCell ref="D135:E135"/>
    <mergeCell ref="D138:E138"/>
    <mergeCell ref="D142:E142"/>
    <mergeCell ref="D143:E143"/>
    <mergeCell ref="D150:E150"/>
    <mergeCell ref="D157:E157"/>
    <mergeCell ref="D158:E158"/>
    <mergeCell ref="D163:E163"/>
    <mergeCell ref="D168:E168"/>
    <mergeCell ref="D174:E174"/>
    <mergeCell ref="D179:E179"/>
    <mergeCell ref="D186:E186"/>
    <mergeCell ref="D187:E187"/>
    <mergeCell ref="D214:E214"/>
    <mergeCell ref="B218:F218"/>
    <mergeCell ref="D195:E195"/>
    <mergeCell ref="D196:E196"/>
    <mergeCell ref="D200:E200"/>
    <mergeCell ref="D207:E207"/>
    <mergeCell ref="D213:E213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E00-000000000000}">
          <x14:formula1>
            <xm:f>'Asset Condition Ratings'!$C$11:$C$16</xm:f>
          </x14:formula1>
          <xm:sqref>K201</xm:sqref>
        </x14:dataValidation>
        <x14:dataValidation type="list" allowBlank="1" showInputMessage="1" showErrorMessage="1" xr:uid="{00000000-0002-0000-0E00-000001000000}">
          <x14:formula1>
            <xm:f>'Validation Lists'!$B$3:$B$16</xm:f>
          </x14:formula1>
          <xm:sqref>C201</xm:sqref>
        </x14:dataValidation>
        <x14:dataValidation type="list" allowBlank="1" showInputMessage="1" showErrorMessage="1" xr:uid="{00000000-0002-0000-0E00-000002000000}">
          <x14:formula1>
            <xm:f>'Validation Lists'!$B$18:$B$79</xm:f>
          </x14:formula1>
          <xm:sqref>D4:D201</xm:sqref>
        </x14:dataValidation>
        <x14:dataValidation type="list" allowBlank="1" showInputMessage="1" showErrorMessage="1" xr:uid="{00000000-0002-0000-0E00-000003000000}">
          <x14:formula1>
            <xm:f>'Asset Condition Ratings'!$C$2:$C$7</xm:f>
          </x14:formula1>
          <xm:sqref>L201</xm:sqref>
        </x14:dataValidation>
        <x14:dataValidation type="list" allowBlank="1" showInputMessage="1" showErrorMessage="1" xr:uid="{00000000-0002-0000-0E00-000004000000}">
          <x14:formula1>
            <xm:f>'Asset Condition Ratings'!$C$6:$C$10</xm:f>
          </x14:formula1>
          <xm:sqref>K4:L200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7"/>
  <sheetViews>
    <sheetView topLeftCell="D32" workbookViewId="0">
      <selection activeCell="D53" sqref="D53"/>
    </sheetView>
  </sheetViews>
  <sheetFormatPr defaultColWidth="11.81640625" defaultRowHeight="14" x14ac:dyDescent="0.3"/>
  <cols>
    <col min="1" max="1" width="11.81640625" style="108"/>
    <col min="2" max="2" width="53.453125" style="108" bestFit="1" customWidth="1"/>
    <col min="3" max="3" width="42.6328125" style="108" bestFit="1" customWidth="1"/>
    <col min="4" max="4" width="54.1796875" style="108" bestFit="1" customWidth="1"/>
    <col min="5" max="5" width="71.1796875" style="108" bestFit="1" customWidth="1"/>
    <col min="6" max="16384" width="11.81640625" style="108"/>
  </cols>
  <sheetData>
    <row r="1" spans="1:5" x14ac:dyDescent="0.3">
      <c r="A1" s="160" t="s">
        <v>2381</v>
      </c>
    </row>
    <row r="2" spans="1:5" x14ac:dyDescent="0.3">
      <c r="A2" s="108" t="s">
        <v>2382</v>
      </c>
    </row>
    <row r="3" spans="1:5" x14ac:dyDescent="0.3">
      <c r="A3" s="108" t="s">
        <v>2383</v>
      </c>
    </row>
    <row r="5" spans="1:5" x14ac:dyDescent="0.3">
      <c r="A5" s="218" t="s">
        <v>2384</v>
      </c>
      <c r="B5" s="218" t="s">
        <v>2385</v>
      </c>
      <c r="C5" s="218" t="s">
        <v>2386</v>
      </c>
      <c r="D5" s="218" t="s">
        <v>2387</v>
      </c>
      <c r="E5" s="218" t="s">
        <v>2388</v>
      </c>
    </row>
    <row r="6" spans="1:5" x14ac:dyDescent="0.3">
      <c r="A6" s="219">
        <v>1</v>
      </c>
      <c r="B6" s="220" t="s">
        <v>2389</v>
      </c>
      <c r="C6" s="220" t="s">
        <v>2390</v>
      </c>
      <c r="D6" s="220" t="s">
        <v>2391</v>
      </c>
      <c r="E6" s="220" t="s">
        <v>2392</v>
      </c>
    </row>
    <row r="7" spans="1:5" x14ac:dyDescent="0.3">
      <c r="A7" s="221"/>
      <c r="B7" s="185"/>
      <c r="C7" s="185"/>
      <c r="D7" s="185" t="s">
        <v>2393</v>
      </c>
      <c r="E7" s="185"/>
    </row>
    <row r="8" spans="1:5" x14ac:dyDescent="0.3">
      <c r="A8" s="221"/>
      <c r="B8" s="185"/>
      <c r="C8" s="185"/>
      <c r="D8" s="185"/>
      <c r="E8" s="185"/>
    </row>
    <row r="9" spans="1:5" x14ac:dyDescent="0.3">
      <c r="A9" s="219">
        <v>2</v>
      </c>
      <c r="B9" s="220" t="s">
        <v>2394</v>
      </c>
      <c r="C9" s="220" t="s">
        <v>2395</v>
      </c>
      <c r="D9" s="220" t="s">
        <v>2396</v>
      </c>
      <c r="E9" s="220" t="s">
        <v>2397</v>
      </c>
    </row>
    <row r="10" spans="1:5" x14ac:dyDescent="0.3">
      <c r="A10" s="221"/>
      <c r="B10" s="185"/>
      <c r="C10" s="185"/>
      <c r="D10" s="185" t="s">
        <v>2398</v>
      </c>
      <c r="E10" s="185" t="s">
        <v>2399</v>
      </c>
    </row>
    <row r="11" spans="1:5" x14ac:dyDescent="0.3">
      <c r="A11" s="221"/>
      <c r="B11" s="185"/>
      <c r="C11" s="185"/>
      <c r="D11" s="185" t="s">
        <v>2400</v>
      </c>
      <c r="E11" s="185" t="s">
        <v>2401</v>
      </c>
    </row>
    <row r="12" spans="1:5" x14ac:dyDescent="0.3">
      <c r="A12" s="221"/>
      <c r="B12" s="185"/>
      <c r="C12" s="185" t="s">
        <v>2402</v>
      </c>
      <c r="D12" s="185" t="s">
        <v>2403</v>
      </c>
      <c r="E12" s="185" t="s">
        <v>2404</v>
      </c>
    </row>
    <row r="13" spans="1:5" x14ac:dyDescent="0.3">
      <c r="A13" s="221"/>
      <c r="B13" s="185"/>
      <c r="C13" s="185" t="s">
        <v>2405</v>
      </c>
      <c r="D13" s="185" t="s">
        <v>2406</v>
      </c>
      <c r="E13" s="185" t="s">
        <v>2407</v>
      </c>
    </row>
    <row r="14" spans="1:5" x14ac:dyDescent="0.3">
      <c r="A14" s="221"/>
      <c r="B14" s="185"/>
      <c r="C14" s="185" t="s">
        <v>2408</v>
      </c>
      <c r="D14" s="185" t="s">
        <v>2409</v>
      </c>
      <c r="E14" s="185" t="s">
        <v>2410</v>
      </c>
    </row>
    <row r="15" spans="1:5" x14ac:dyDescent="0.3">
      <c r="A15" s="221"/>
      <c r="B15" s="185"/>
      <c r="C15" s="185" t="s">
        <v>2408</v>
      </c>
      <c r="D15" s="185" t="s">
        <v>2411</v>
      </c>
      <c r="E15" s="185" t="s">
        <v>2412</v>
      </c>
    </row>
    <row r="16" spans="1:5" x14ac:dyDescent="0.3">
      <c r="A16" s="219">
        <v>3</v>
      </c>
      <c r="B16" s="220" t="s">
        <v>2413</v>
      </c>
      <c r="C16" s="220" t="s">
        <v>2414</v>
      </c>
      <c r="D16" s="220" t="s">
        <v>2415</v>
      </c>
      <c r="E16" s="220" t="s">
        <v>2416</v>
      </c>
    </row>
    <row r="17" spans="1:5" ht="28" x14ac:dyDescent="0.3">
      <c r="A17" s="221"/>
      <c r="B17" s="185"/>
      <c r="C17" s="185"/>
      <c r="D17" s="200" t="s">
        <v>2417</v>
      </c>
      <c r="E17" s="185" t="s">
        <v>2418</v>
      </c>
    </row>
    <row r="18" spans="1:5" ht="28" x14ac:dyDescent="0.3">
      <c r="A18" s="221"/>
      <c r="B18" s="185"/>
      <c r="C18" s="185" t="s">
        <v>2419</v>
      </c>
      <c r="D18" s="200" t="s">
        <v>2420</v>
      </c>
      <c r="E18" s="200" t="s">
        <v>2421</v>
      </c>
    </row>
    <row r="19" spans="1:5" x14ac:dyDescent="0.3">
      <c r="A19" s="219">
        <v>4</v>
      </c>
      <c r="B19" s="220" t="s">
        <v>2422</v>
      </c>
      <c r="C19" s="220" t="s">
        <v>2423</v>
      </c>
      <c r="D19" s="220" t="s">
        <v>2424</v>
      </c>
      <c r="E19" s="220" t="s">
        <v>2425</v>
      </c>
    </row>
    <row r="20" spans="1:5" x14ac:dyDescent="0.3">
      <c r="A20" s="221"/>
      <c r="B20" s="185"/>
      <c r="C20" s="185" t="s">
        <v>2426</v>
      </c>
      <c r="D20" s="185" t="s">
        <v>2427</v>
      </c>
      <c r="E20" s="185" t="s">
        <v>2428</v>
      </c>
    </row>
    <row r="21" spans="1:5" x14ac:dyDescent="0.3">
      <c r="A21" s="221"/>
      <c r="B21" s="185"/>
      <c r="C21" s="185" t="s">
        <v>2429</v>
      </c>
      <c r="D21" s="185" t="s">
        <v>2430</v>
      </c>
      <c r="E21" s="185" t="s">
        <v>2431</v>
      </c>
    </row>
    <row r="22" spans="1:5" x14ac:dyDescent="0.3">
      <c r="A22" s="221"/>
      <c r="B22" s="185"/>
      <c r="C22" s="185" t="s">
        <v>2432</v>
      </c>
      <c r="D22" s="185" t="s">
        <v>2433</v>
      </c>
      <c r="E22" s="185" t="s">
        <v>2434</v>
      </c>
    </row>
    <row r="23" spans="1:5" x14ac:dyDescent="0.3">
      <c r="A23" s="219">
        <v>5</v>
      </c>
      <c r="B23" s="220" t="s">
        <v>2435</v>
      </c>
      <c r="C23" s="220" t="s">
        <v>2436</v>
      </c>
      <c r="D23" s="220" t="s">
        <v>2437</v>
      </c>
      <c r="E23" s="220" t="s">
        <v>2438</v>
      </c>
    </row>
    <row r="24" spans="1:5" x14ac:dyDescent="0.3">
      <c r="A24" s="183"/>
      <c r="B24" s="185"/>
      <c r="C24" s="185" t="s">
        <v>2439</v>
      </c>
      <c r="D24" s="185" t="s">
        <v>2437</v>
      </c>
      <c r="E24" s="185" t="s">
        <v>2440</v>
      </c>
    </row>
    <row r="25" spans="1:5" x14ac:dyDescent="0.3">
      <c r="A25" s="183"/>
      <c r="B25" s="185"/>
      <c r="C25" s="185" t="s">
        <v>2441</v>
      </c>
      <c r="D25" s="185" t="s">
        <v>2437</v>
      </c>
      <c r="E25" s="185" t="s">
        <v>2440</v>
      </c>
    </row>
    <row r="26" spans="1:5" x14ac:dyDescent="0.3">
      <c r="A26" s="183"/>
      <c r="B26" s="185"/>
      <c r="C26" s="185" t="s">
        <v>2442</v>
      </c>
      <c r="D26" s="185" t="s">
        <v>2443</v>
      </c>
      <c r="E26" s="185" t="s">
        <v>2440</v>
      </c>
    </row>
    <row r="27" spans="1:5" x14ac:dyDescent="0.3">
      <c r="A27" s="183"/>
      <c r="B27" s="185"/>
      <c r="C27" s="185" t="s">
        <v>2444</v>
      </c>
      <c r="D27" s="185" t="s">
        <v>2445</v>
      </c>
      <c r="E27" s="185" t="s">
        <v>2440</v>
      </c>
    </row>
    <row r="28" spans="1:5" x14ac:dyDescent="0.3">
      <c r="A28" s="183"/>
      <c r="B28" s="185"/>
      <c r="C28" s="185" t="s">
        <v>2446</v>
      </c>
      <c r="D28" s="185" t="s">
        <v>2445</v>
      </c>
      <c r="E28" s="185" t="s">
        <v>2440</v>
      </c>
    </row>
    <row r="29" spans="1:5" x14ac:dyDescent="0.3">
      <c r="A29" s="183"/>
      <c r="B29" s="185"/>
      <c r="C29" s="185" t="s">
        <v>2447</v>
      </c>
      <c r="D29" s="185" t="s">
        <v>2437</v>
      </c>
      <c r="E29" s="185" t="s">
        <v>2448</v>
      </c>
    </row>
    <row r="30" spans="1:5" x14ac:dyDescent="0.3">
      <c r="A30" s="183"/>
      <c r="B30" s="185"/>
      <c r="C30" s="185" t="s">
        <v>2449</v>
      </c>
      <c r="D30" s="185" t="s">
        <v>2450</v>
      </c>
      <c r="E30" s="185" t="s">
        <v>2440</v>
      </c>
    </row>
    <row r="31" spans="1:5" x14ac:dyDescent="0.3">
      <c r="A31" s="222">
        <v>6</v>
      </c>
      <c r="B31" s="220" t="s">
        <v>2451</v>
      </c>
      <c r="C31" s="220" t="s">
        <v>2452</v>
      </c>
      <c r="D31" s="220" t="s">
        <v>2437</v>
      </c>
      <c r="E31" s="220" t="s">
        <v>2440</v>
      </c>
    </row>
    <row r="32" spans="1:5" x14ac:dyDescent="0.3">
      <c r="A32" s="183"/>
      <c r="B32" s="185"/>
      <c r="C32" s="185" t="s">
        <v>2453</v>
      </c>
      <c r="D32" s="185" t="s">
        <v>2437</v>
      </c>
      <c r="E32" s="185" t="s">
        <v>2440</v>
      </c>
    </row>
    <row r="33" spans="1:5" x14ac:dyDescent="0.3">
      <c r="A33" s="183"/>
      <c r="B33" s="185"/>
      <c r="C33" s="185" t="s">
        <v>2454</v>
      </c>
      <c r="D33" s="185" t="s">
        <v>2437</v>
      </c>
      <c r="E33" s="185" t="s">
        <v>2440</v>
      </c>
    </row>
    <row r="34" spans="1:5" x14ac:dyDescent="0.3">
      <c r="A34" s="183"/>
      <c r="B34" s="185"/>
      <c r="C34" s="185" t="s">
        <v>2455</v>
      </c>
      <c r="D34" s="185" t="s">
        <v>2456</v>
      </c>
      <c r="E34" s="185" t="s">
        <v>2440</v>
      </c>
    </row>
    <row r="35" spans="1:5" x14ac:dyDescent="0.3">
      <c r="A35" s="222">
        <v>7</v>
      </c>
      <c r="B35" s="220" t="s">
        <v>2457</v>
      </c>
      <c r="C35" s="220" t="s">
        <v>2458</v>
      </c>
      <c r="D35" s="220" t="s">
        <v>2459</v>
      </c>
      <c r="E35" s="220" t="s">
        <v>2460</v>
      </c>
    </row>
    <row r="36" spans="1:5" x14ac:dyDescent="0.3">
      <c r="A36" s="222">
        <v>8</v>
      </c>
      <c r="B36" s="220" t="s">
        <v>2461</v>
      </c>
      <c r="C36" s="220" t="s">
        <v>2462</v>
      </c>
      <c r="D36" s="220" t="s">
        <v>2463</v>
      </c>
      <c r="E36" s="220" t="s">
        <v>2440</v>
      </c>
    </row>
    <row r="37" spans="1:5" x14ac:dyDescent="0.3">
      <c r="A37" s="183"/>
      <c r="B37" s="185"/>
      <c r="C37" s="185" t="s">
        <v>2464</v>
      </c>
      <c r="D37" s="185" t="s">
        <v>2465</v>
      </c>
      <c r="E37" s="185" t="s">
        <v>2440</v>
      </c>
    </row>
    <row r="38" spans="1:5" x14ac:dyDescent="0.3">
      <c r="A38" s="183"/>
      <c r="B38" s="185"/>
      <c r="C38" s="185" t="s">
        <v>2466</v>
      </c>
      <c r="D38" s="185" t="s">
        <v>2465</v>
      </c>
      <c r="E38" s="185" t="s">
        <v>2440</v>
      </c>
    </row>
    <row r="39" spans="1:5" x14ac:dyDescent="0.3">
      <c r="A39" s="222">
        <v>9</v>
      </c>
      <c r="B39" s="220" t="s">
        <v>2467</v>
      </c>
      <c r="C39" s="220" t="s">
        <v>2468</v>
      </c>
      <c r="D39" s="220" t="s">
        <v>2469</v>
      </c>
      <c r="E39" s="220" t="s">
        <v>2440</v>
      </c>
    </row>
    <row r="40" spans="1:5" x14ac:dyDescent="0.3">
      <c r="A40" s="183"/>
      <c r="B40" s="185"/>
      <c r="C40" s="185" t="s">
        <v>2470</v>
      </c>
      <c r="D40" s="185" t="s">
        <v>2463</v>
      </c>
      <c r="E40" s="185" t="s">
        <v>2440</v>
      </c>
    </row>
    <row r="41" spans="1:5" x14ac:dyDescent="0.3">
      <c r="A41" s="183"/>
      <c r="B41" s="185"/>
      <c r="C41" s="185" t="s">
        <v>2471</v>
      </c>
      <c r="D41" s="185" t="s">
        <v>2472</v>
      </c>
      <c r="E41" s="185" t="s">
        <v>2473</v>
      </c>
    </row>
    <row r="42" spans="1:5" x14ac:dyDescent="0.3">
      <c r="A42" s="222">
        <v>10</v>
      </c>
      <c r="B42" s="220" t="s">
        <v>2474</v>
      </c>
      <c r="C42" s="220" t="s">
        <v>2475</v>
      </c>
      <c r="D42" s="220" t="s">
        <v>2476</v>
      </c>
      <c r="E42" s="220" t="s">
        <v>2412</v>
      </c>
    </row>
    <row r="43" spans="1:5" x14ac:dyDescent="0.3">
      <c r="A43" s="183"/>
      <c r="B43" s="185"/>
      <c r="C43" s="185" t="s">
        <v>2477</v>
      </c>
      <c r="D43" s="185" t="s">
        <v>2478</v>
      </c>
      <c r="E43" s="185" t="s">
        <v>2407</v>
      </c>
    </row>
    <row r="44" spans="1:5" x14ac:dyDescent="0.3">
      <c r="A44" s="183"/>
      <c r="B44" s="185"/>
      <c r="C44" s="185" t="s">
        <v>2479</v>
      </c>
      <c r="D44" s="185" t="s">
        <v>2480</v>
      </c>
      <c r="E44" s="185" t="s">
        <v>2407</v>
      </c>
    </row>
    <row r="45" spans="1:5" x14ac:dyDescent="0.3">
      <c r="A45" s="183"/>
      <c r="B45" s="185"/>
      <c r="C45" s="185" t="s">
        <v>2481</v>
      </c>
      <c r="D45" s="185" t="s">
        <v>2482</v>
      </c>
      <c r="E45" s="185" t="s">
        <v>2407</v>
      </c>
    </row>
    <row r="46" spans="1:5" x14ac:dyDescent="0.3">
      <c r="A46" s="222">
        <v>11</v>
      </c>
      <c r="B46" s="220" t="s">
        <v>2483</v>
      </c>
      <c r="C46" s="220" t="s">
        <v>2484</v>
      </c>
      <c r="D46" s="220" t="s">
        <v>2450</v>
      </c>
      <c r="E46" s="220" t="s">
        <v>2485</v>
      </c>
    </row>
    <row r="47" spans="1:5" x14ac:dyDescent="0.3">
      <c r="A47" s="222">
        <v>12</v>
      </c>
      <c r="B47" s="220" t="s">
        <v>2486</v>
      </c>
      <c r="C47" s="220" t="s">
        <v>2487</v>
      </c>
      <c r="D47" s="220" t="s">
        <v>2488</v>
      </c>
      <c r="E47" s="220" t="s">
        <v>2489</v>
      </c>
    </row>
    <row r="48" spans="1:5" x14ac:dyDescent="0.3">
      <c r="A48" s="183"/>
      <c r="B48" s="185"/>
      <c r="C48" s="185" t="s">
        <v>2490</v>
      </c>
      <c r="D48" s="185" t="s">
        <v>2491</v>
      </c>
      <c r="E48" s="185" t="s">
        <v>2492</v>
      </c>
    </row>
    <row r="49" spans="1:5" x14ac:dyDescent="0.3">
      <c r="A49" s="222">
        <v>13</v>
      </c>
      <c r="B49" s="220" t="s">
        <v>2493</v>
      </c>
      <c r="C49" s="220" t="s">
        <v>2494</v>
      </c>
      <c r="D49" s="220" t="s">
        <v>2495</v>
      </c>
      <c r="E49" s="220" t="s">
        <v>2496</v>
      </c>
    </row>
    <row r="50" spans="1:5" x14ac:dyDescent="0.3">
      <c r="A50" s="222">
        <v>14</v>
      </c>
      <c r="B50" s="220" t="s">
        <v>2497</v>
      </c>
      <c r="C50" s="220" t="s">
        <v>2498</v>
      </c>
      <c r="D50" s="220" t="s">
        <v>2499</v>
      </c>
      <c r="E50" s="220" t="s">
        <v>2500</v>
      </c>
    </row>
    <row r="51" spans="1:5" x14ac:dyDescent="0.3">
      <c r="A51" s="222">
        <v>15</v>
      </c>
      <c r="B51" s="220" t="s">
        <v>2501</v>
      </c>
      <c r="C51" s="220" t="s">
        <v>2502</v>
      </c>
      <c r="D51" s="220" t="s">
        <v>2503</v>
      </c>
      <c r="E51" s="220" t="s">
        <v>2504</v>
      </c>
    </row>
    <row r="52" spans="1:5" x14ac:dyDescent="0.3">
      <c r="A52" s="183"/>
      <c r="B52" s="185"/>
      <c r="C52" s="185" t="s">
        <v>2505</v>
      </c>
      <c r="D52" s="185" t="s">
        <v>2506</v>
      </c>
      <c r="E52" s="185" t="s">
        <v>2507</v>
      </c>
    </row>
    <row r="53" spans="1:5" x14ac:dyDescent="0.3">
      <c r="A53" s="183"/>
      <c r="B53" s="185"/>
      <c r="C53" s="185" t="s">
        <v>2508</v>
      </c>
      <c r="D53" s="185" t="s">
        <v>2506</v>
      </c>
      <c r="E53" s="185" t="s">
        <v>2509</v>
      </c>
    </row>
    <row r="54" spans="1:5" x14ac:dyDescent="0.3">
      <c r="A54" s="183"/>
      <c r="B54" s="185"/>
      <c r="C54" s="185" t="s">
        <v>2510</v>
      </c>
      <c r="D54" s="185" t="s">
        <v>2456</v>
      </c>
      <c r="E54" s="185" t="s">
        <v>2511</v>
      </c>
    </row>
    <row r="55" spans="1:5" x14ac:dyDescent="0.3">
      <c r="A55" s="183"/>
      <c r="B55" s="185"/>
      <c r="C55" s="185" t="s">
        <v>2512</v>
      </c>
      <c r="D55" s="185" t="s">
        <v>2513</v>
      </c>
      <c r="E55" s="185" t="s">
        <v>2412</v>
      </c>
    </row>
    <row r="56" spans="1:5" x14ac:dyDescent="0.3">
      <c r="A56" s="183"/>
      <c r="B56" s="185"/>
      <c r="C56" s="185" t="s">
        <v>2514</v>
      </c>
      <c r="D56" s="185" t="s">
        <v>2450</v>
      </c>
      <c r="E56" s="185" t="s">
        <v>2515</v>
      </c>
    </row>
    <row r="57" spans="1:5" x14ac:dyDescent="0.3">
      <c r="A57" s="183"/>
      <c r="B57" s="185"/>
      <c r="C57" s="185" t="s">
        <v>2483</v>
      </c>
      <c r="D57" s="185" t="s">
        <v>2516</v>
      </c>
      <c r="E57" s="185" t="s">
        <v>2515</v>
      </c>
    </row>
    <row r="58" spans="1:5" x14ac:dyDescent="0.3">
      <c r="A58" s="121"/>
    </row>
    <row r="59" spans="1:5" x14ac:dyDescent="0.3">
      <c r="A59" s="121"/>
    </row>
    <row r="60" spans="1:5" x14ac:dyDescent="0.3">
      <c r="A60" s="121"/>
    </row>
    <row r="61" spans="1:5" x14ac:dyDescent="0.3">
      <c r="A61" s="121"/>
    </row>
    <row r="62" spans="1:5" x14ac:dyDescent="0.3">
      <c r="A62" s="121"/>
    </row>
    <row r="63" spans="1:5" x14ac:dyDescent="0.3">
      <c r="A63" s="121"/>
    </row>
    <row r="64" spans="1:5" x14ac:dyDescent="0.3">
      <c r="A64" s="121"/>
    </row>
    <row r="65" spans="1:1" x14ac:dyDescent="0.3">
      <c r="A65" s="121"/>
    </row>
    <row r="66" spans="1:1" x14ac:dyDescent="0.3">
      <c r="A66" s="121"/>
    </row>
    <row r="67" spans="1:1" x14ac:dyDescent="0.3">
      <c r="A67" s="121"/>
    </row>
  </sheetData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F00-000000000000}">
          <x14:formula1>
            <xm:f>'Asset Condition Ratings'!$C$2:$C$7</xm:f>
          </x14:formula1>
          <xm:sqref>K201</xm:sqref>
        </x14:dataValidation>
        <x14:dataValidation type="list" allowBlank="1" showInputMessage="1" showErrorMessage="1" xr:uid="{00000000-0002-0000-0F00-000001000000}">
          <x14:formula1>
            <xm:f>'Validation Lists'!$B$18:$B$79</xm:f>
          </x14:formula1>
          <xm:sqref>D4:D201</xm:sqref>
        </x14:dataValidation>
        <x14:dataValidation type="list" allowBlank="1" showInputMessage="1" showErrorMessage="1" xr:uid="{00000000-0002-0000-0F00-000002000000}">
          <x14:formula1>
            <xm:f>'Validation Lists'!$B$3:$B$16</xm:f>
          </x14:formula1>
          <xm:sqref>C201</xm:sqref>
        </x14:dataValidation>
        <x14:dataValidation type="list" allowBlank="1" showInputMessage="1" showErrorMessage="1" xr:uid="{00000000-0002-0000-0F00-000003000000}">
          <x14:formula1>
            <xm:f>'Asset Condition Ratings'!$C$11:$C$16</xm:f>
          </x14:formula1>
          <xm:sqref>J201</xm:sqref>
        </x14:dataValidation>
        <x14:dataValidation type="list" allowBlank="1" showInputMessage="1" showErrorMessage="1" xr:uid="{00000000-0002-0000-0F00-000004000000}">
          <x14:formula1>
            <xm:f>'Asset Condition Ratings'!$C$6:$C$10</xm:f>
          </x14:formula1>
          <xm:sqref>J4:K200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3"/>
  <sheetViews>
    <sheetView workbookViewId="0">
      <selection activeCell="A5" sqref="A5"/>
    </sheetView>
  </sheetViews>
  <sheetFormatPr defaultColWidth="9.1796875" defaultRowHeight="14" x14ac:dyDescent="0.35"/>
  <cols>
    <col min="1" max="1" width="9.1796875" style="224"/>
    <col min="2" max="2" width="11.6328125" style="224" customWidth="1"/>
    <col min="3" max="3" width="25.1796875" style="224" customWidth="1"/>
    <col min="4" max="4" width="21.453125" style="224" customWidth="1"/>
    <col min="5" max="5" width="27.453125" style="224" customWidth="1"/>
    <col min="6" max="6" width="14.36328125" style="224" bestFit="1" customWidth="1"/>
    <col min="7" max="7" width="26.36328125" style="224" customWidth="1"/>
    <col min="8" max="8" width="23" style="224" customWidth="1"/>
    <col min="9" max="9" width="24.1796875" style="224" customWidth="1"/>
    <col min="10" max="10" width="23.453125" style="224" customWidth="1"/>
    <col min="11" max="11" width="26.81640625" style="224" customWidth="1"/>
    <col min="12" max="12" width="10.6328125" style="224" customWidth="1"/>
    <col min="13" max="13" width="11.36328125" style="224" customWidth="1"/>
    <col min="14" max="14" width="12.36328125" style="224" customWidth="1"/>
    <col min="15" max="15" width="11" style="224" customWidth="1"/>
    <col min="16" max="16384" width="9.1796875" style="224"/>
  </cols>
  <sheetData>
    <row r="1" spans="1:15" ht="23" x14ac:dyDescent="0.35">
      <c r="A1" s="223" t="s">
        <v>2682</v>
      </c>
    </row>
    <row r="2" spans="1:15" ht="18" x14ac:dyDescent="0.35">
      <c r="A2" s="225" t="s">
        <v>2517</v>
      </c>
    </row>
    <row r="3" spans="1:15" ht="15.5" x14ac:dyDescent="0.35">
      <c r="A3" s="226" t="s">
        <v>2518</v>
      </c>
      <c r="F3" s="224" t="s">
        <v>2519</v>
      </c>
      <c r="I3" s="227"/>
      <c r="L3" s="547" t="s">
        <v>2520</v>
      </c>
      <c r="M3" s="548"/>
      <c r="N3" s="228"/>
      <c r="O3" s="228"/>
    </row>
    <row r="4" spans="1:15" s="231" customFormat="1" ht="28" x14ac:dyDescent="0.35">
      <c r="A4" s="229" t="s">
        <v>2521</v>
      </c>
      <c r="B4" s="229" t="s">
        <v>2522</v>
      </c>
      <c r="C4" s="229" t="s">
        <v>2523</v>
      </c>
      <c r="D4" s="229" t="s">
        <v>2524</v>
      </c>
      <c r="E4" s="229" t="s">
        <v>2525</v>
      </c>
      <c r="F4" s="229" t="s">
        <v>2526</v>
      </c>
      <c r="G4" s="229" t="s">
        <v>13</v>
      </c>
      <c r="H4" s="229" t="s">
        <v>2527</v>
      </c>
      <c r="I4" s="229" t="s">
        <v>2528</v>
      </c>
      <c r="J4" s="229" t="s">
        <v>2529</v>
      </c>
      <c r="K4" s="229" t="s">
        <v>2530</v>
      </c>
      <c r="L4" s="153" t="s">
        <v>2531</v>
      </c>
      <c r="M4" s="153" t="s">
        <v>2532</v>
      </c>
      <c r="N4" s="230" t="s">
        <v>2533</v>
      </c>
      <c r="O4" s="230" t="s">
        <v>2534</v>
      </c>
    </row>
    <row r="5" spans="1:15" s="231" customFormat="1" ht="28" x14ac:dyDescent="0.35">
      <c r="A5" s="242" t="s">
        <v>2535</v>
      </c>
      <c r="B5" s="243">
        <v>1</v>
      </c>
      <c r="C5" s="244" t="s">
        <v>2536</v>
      </c>
      <c r="D5" s="244" t="s">
        <v>2537</v>
      </c>
      <c r="E5" s="244" t="s">
        <v>2537</v>
      </c>
      <c r="F5" s="245" t="s">
        <v>2538</v>
      </c>
      <c r="G5" s="244" t="s">
        <v>2539</v>
      </c>
      <c r="H5" s="244" t="s">
        <v>2537</v>
      </c>
      <c r="I5" s="245" t="s">
        <v>2540</v>
      </c>
      <c r="J5" s="244" t="s">
        <v>2541</v>
      </c>
      <c r="K5" s="244"/>
      <c r="L5" s="232"/>
      <c r="M5" s="232">
        <v>1</v>
      </c>
      <c r="N5" s="232"/>
      <c r="O5" s="233">
        <v>1</v>
      </c>
    </row>
    <row r="6" spans="1:15" s="231" customFormat="1" ht="28" x14ac:dyDescent="0.35">
      <c r="A6" s="246" t="s">
        <v>2542</v>
      </c>
      <c r="B6" s="247">
        <v>2</v>
      </c>
      <c r="C6" s="248" t="s">
        <v>2543</v>
      </c>
      <c r="D6" s="248" t="s">
        <v>2544</v>
      </c>
      <c r="E6" s="249" t="s">
        <v>2545</v>
      </c>
      <c r="F6" s="249" t="s">
        <v>2538</v>
      </c>
      <c r="G6" s="248" t="s">
        <v>2546</v>
      </c>
      <c r="H6" s="248" t="s">
        <v>2547</v>
      </c>
      <c r="I6" s="249" t="s">
        <v>2540</v>
      </c>
      <c r="J6" s="248" t="s">
        <v>2541</v>
      </c>
      <c r="K6" s="248" t="s">
        <v>2548</v>
      </c>
      <c r="L6" s="183">
        <v>1</v>
      </c>
      <c r="M6" s="183">
        <v>2</v>
      </c>
      <c r="N6" s="232">
        <f>B6-(L6+M6)</f>
        <v>-1</v>
      </c>
      <c r="O6" s="233">
        <v>1</v>
      </c>
    </row>
    <row r="7" spans="1:15" s="231" customFormat="1" ht="56" x14ac:dyDescent="0.35">
      <c r="A7" s="246" t="s">
        <v>2549</v>
      </c>
      <c r="B7" s="247">
        <v>1</v>
      </c>
      <c r="C7" s="248" t="s">
        <v>2543</v>
      </c>
      <c r="D7" s="249" t="s">
        <v>2550</v>
      </c>
      <c r="E7" s="249" t="s">
        <v>2551</v>
      </c>
      <c r="F7" s="249" t="s">
        <v>2538</v>
      </c>
      <c r="G7" s="248" t="s">
        <v>2546</v>
      </c>
      <c r="H7" s="248" t="s">
        <v>2547</v>
      </c>
      <c r="I7" s="249" t="s">
        <v>2540</v>
      </c>
      <c r="J7" s="248" t="s">
        <v>2541</v>
      </c>
      <c r="K7" s="248" t="s">
        <v>2548</v>
      </c>
      <c r="L7" s="183"/>
      <c r="M7" s="183">
        <v>1</v>
      </c>
      <c r="N7" s="232">
        <f>B7-(L7+M7)</f>
        <v>0</v>
      </c>
      <c r="O7" s="233">
        <v>1</v>
      </c>
    </row>
    <row r="8" spans="1:15" s="231" customFormat="1" ht="42" x14ac:dyDescent="0.35">
      <c r="A8" s="246" t="s">
        <v>2552</v>
      </c>
      <c r="B8" s="247">
        <v>1</v>
      </c>
      <c r="C8" s="248" t="s">
        <v>2543</v>
      </c>
      <c r="D8" s="248" t="s">
        <v>2553</v>
      </c>
      <c r="E8" s="249" t="s">
        <v>2545</v>
      </c>
      <c r="F8" s="248" t="s">
        <v>2538</v>
      </c>
      <c r="G8" s="248" t="s">
        <v>2546</v>
      </c>
      <c r="H8" s="248" t="s">
        <v>2547</v>
      </c>
      <c r="I8" s="249" t="s">
        <v>2540</v>
      </c>
      <c r="J8" s="248" t="s">
        <v>2541</v>
      </c>
      <c r="K8" s="248" t="s">
        <v>2554</v>
      </c>
      <c r="L8" s="183"/>
      <c r="M8" s="183">
        <v>1</v>
      </c>
      <c r="N8" s="232">
        <f>B8-(L8+M8)</f>
        <v>0</v>
      </c>
      <c r="O8" s="233">
        <v>1</v>
      </c>
    </row>
    <row r="9" spans="1:15" s="231" customFormat="1" ht="42" x14ac:dyDescent="0.35">
      <c r="A9" s="246" t="s">
        <v>2555</v>
      </c>
      <c r="B9" s="247">
        <v>1</v>
      </c>
      <c r="C9" s="248" t="s">
        <v>2543</v>
      </c>
      <c r="D9" s="248" t="s">
        <v>2553</v>
      </c>
      <c r="E9" s="248" t="s">
        <v>2545</v>
      </c>
      <c r="F9" s="248" t="s">
        <v>2538</v>
      </c>
      <c r="G9" s="248" t="s">
        <v>2546</v>
      </c>
      <c r="H9" s="248" t="s">
        <v>2556</v>
      </c>
      <c r="I9" s="249" t="s">
        <v>2540</v>
      </c>
      <c r="J9" s="248"/>
      <c r="K9" s="248" t="s">
        <v>2548</v>
      </c>
      <c r="L9" s="183">
        <v>1</v>
      </c>
      <c r="M9" s="183">
        <v>1</v>
      </c>
      <c r="N9" s="232">
        <f>B9-(L9+M9)</f>
        <v>-1</v>
      </c>
      <c r="O9" s="233">
        <v>1</v>
      </c>
    </row>
    <row r="10" spans="1:15" s="231" customFormat="1" ht="56" x14ac:dyDescent="0.35">
      <c r="A10" s="250" t="s">
        <v>2557</v>
      </c>
      <c r="B10" s="251">
        <v>2</v>
      </c>
      <c r="C10" s="252" t="s">
        <v>2543</v>
      </c>
      <c r="D10" s="252" t="s">
        <v>2537</v>
      </c>
      <c r="E10" s="252" t="s">
        <v>2537</v>
      </c>
      <c r="F10" s="252" t="s">
        <v>2558</v>
      </c>
      <c r="G10" s="252" t="s">
        <v>2559</v>
      </c>
      <c r="H10" s="252" t="s">
        <v>2560</v>
      </c>
      <c r="I10" s="253" t="s">
        <v>2540</v>
      </c>
      <c r="J10" s="252" t="s">
        <v>2541</v>
      </c>
      <c r="K10" s="252" t="s">
        <v>2561</v>
      </c>
      <c r="L10" s="183"/>
      <c r="M10" s="183">
        <v>2</v>
      </c>
      <c r="N10" s="232"/>
      <c r="O10" s="233">
        <v>1</v>
      </c>
    </row>
    <row r="11" spans="1:15" s="231" customFormat="1" ht="48.75" customHeight="1" x14ac:dyDescent="0.35">
      <c r="A11" s="254" t="s">
        <v>2562</v>
      </c>
      <c r="B11" s="255">
        <v>1</v>
      </c>
      <c r="C11" s="256" t="s">
        <v>2563</v>
      </c>
      <c r="D11" s="256" t="s">
        <v>1107</v>
      </c>
      <c r="E11" s="256" t="s">
        <v>1107</v>
      </c>
      <c r="F11" s="256" t="s">
        <v>2564</v>
      </c>
      <c r="G11" s="256" t="s">
        <v>2565</v>
      </c>
      <c r="H11" s="256"/>
      <c r="I11" s="256" t="s">
        <v>2540</v>
      </c>
      <c r="J11" s="256" t="s">
        <v>2541</v>
      </c>
      <c r="K11" s="256" t="s">
        <v>2566</v>
      </c>
      <c r="L11" s="234"/>
      <c r="M11" s="234"/>
      <c r="N11" s="234">
        <f>B11-(L11+M11)</f>
        <v>1</v>
      </c>
      <c r="O11" s="235">
        <v>2</v>
      </c>
    </row>
    <row r="12" spans="1:15" s="231" customFormat="1" ht="42" x14ac:dyDescent="0.35">
      <c r="A12" s="246" t="s">
        <v>2567</v>
      </c>
      <c r="B12" s="257">
        <v>1</v>
      </c>
      <c r="C12" s="248" t="s">
        <v>2536</v>
      </c>
      <c r="D12" s="248" t="s">
        <v>2568</v>
      </c>
      <c r="E12" s="248" t="s">
        <v>2569</v>
      </c>
      <c r="F12" s="249" t="s">
        <v>2538</v>
      </c>
      <c r="G12" s="248" t="s">
        <v>2546</v>
      </c>
      <c r="H12" s="248"/>
      <c r="I12" s="249" t="s">
        <v>2540</v>
      </c>
      <c r="J12" s="248"/>
      <c r="K12" s="248"/>
      <c r="L12" s="232"/>
      <c r="M12" s="232">
        <v>1</v>
      </c>
      <c r="N12" s="232">
        <f>B12-(L12+M12)</f>
        <v>0</v>
      </c>
      <c r="O12" s="236">
        <v>2</v>
      </c>
    </row>
    <row r="13" spans="1:15" s="231" customFormat="1" ht="28" x14ac:dyDescent="0.35">
      <c r="A13" s="246" t="s">
        <v>2570</v>
      </c>
      <c r="B13" s="257">
        <v>1</v>
      </c>
      <c r="C13" s="248" t="s">
        <v>2536</v>
      </c>
      <c r="D13" s="248"/>
      <c r="E13" s="248"/>
      <c r="F13" s="248" t="s">
        <v>2538</v>
      </c>
      <c r="G13" s="248" t="s">
        <v>2571</v>
      </c>
      <c r="H13" s="248"/>
      <c r="I13" s="249" t="s">
        <v>2540</v>
      </c>
      <c r="J13" s="248" t="s">
        <v>2541</v>
      </c>
      <c r="K13" s="248"/>
      <c r="L13" s="183"/>
      <c r="M13" s="183"/>
      <c r="N13" s="232">
        <f>B13-(L13+M13)</f>
        <v>1</v>
      </c>
      <c r="O13" s="236">
        <v>2</v>
      </c>
    </row>
    <row r="14" spans="1:15" s="231" customFormat="1" ht="28" x14ac:dyDescent="0.35">
      <c r="A14" s="246" t="s">
        <v>2572</v>
      </c>
      <c r="B14" s="247">
        <v>1</v>
      </c>
      <c r="C14" s="248" t="s">
        <v>2543</v>
      </c>
      <c r="D14" s="248" t="s">
        <v>2573</v>
      </c>
      <c r="E14" s="248" t="s">
        <v>2545</v>
      </c>
      <c r="F14" s="248" t="s">
        <v>2538</v>
      </c>
      <c r="G14" s="248" t="s">
        <v>2546</v>
      </c>
      <c r="H14" s="248" t="s">
        <v>2574</v>
      </c>
      <c r="I14" s="249" t="s">
        <v>2540</v>
      </c>
      <c r="J14" s="249" t="s">
        <v>2541</v>
      </c>
      <c r="K14" s="248"/>
      <c r="L14" s="183">
        <v>1</v>
      </c>
      <c r="M14" s="183"/>
      <c r="N14" s="232"/>
      <c r="O14" s="236">
        <v>2</v>
      </c>
    </row>
    <row r="15" spans="1:15" s="231" customFormat="1" ht="28" x14ac:dyDescent="0.35">
      <c r="A15" s="246" t="s">
        <v>2575</v>
      </c>
      <c r="B15" s="247">
        <v>1</v>
      </c>
      <c r="C15" s="248" t="s">
        <v>2543</v>
      </c>
      <c r="D15" s="248" t="s">
        <v>2576</v>
      </c>
      <c r="E15" s="248" t="s">
        <v>2576</v>
      </c>
      <c r="F15" s="248" t="s">
        <v>2538</v>
      </c>
      <c r="G15" s="248" t="s">
        <v>2546</v>
      </c>
      <c r="H15" s="248" t="s">
        <v>2577</v>
      </c>
      <c r="I15" s="249" t="s">
        <v>2540</v>
      </c>
      <c r="J15" s="248"/>
      <c r="K15" s="248" t="s">
        <v>2578</v>
      </c>
      <c r="L15" s="183">
        <v>1</v>
      </c>
      <c r="M15" s="183"/>
      <c r="N15" s="232"/>
      <c r="O15" s="236">
        <v>2</v>
      </c>
    </row>
    <row r="16" spans="1:15" s="231" customFormat="1" ht="42" x14ac:dyDescent="0.35">
      <c r="A16" s="250" t="s">
        <v>2579</v>
      </c>
      <c r="B16" s="251">
        <v>1</v>
      </c>
      <c r="C16" s="252" t="s">
        <v>2543</v>
      </c>
      <c r="D16" s="252" t="s">
        <v>2537</v>
      </c>
      <c r="E16" s="252" t="s">
        <v>2537</v>
      </c>
      <c r="F16" s="253" t="s">
        <v>2558</v>
      </c>
      <c r="G16" s="252" t="s">
        <v>2580</v>
      </c>
      <c r="H16" s="252" t="s">
        <v>2581</v>
      </c>
      <c r="I16" s="253" t="s">
        <v>2540</v>
      </c>
      <c r="J16" s="252" t="s">
        <v>2541</v>
      </c>
      <c r="K16" s="252"/>
      <c r="L16" s="183"/>
      <c r="M16" s="183">
        <v>1</v>
      </c>
      <c r="N16" s="232"/>
      <c r="O16" s="236">
        <v>2</v>
      </c>
    </row>
    <row r="17" spans="1:15" s="231" customFormat="1" ht="28" x14ac:dyDescent="0.35">
      <c r="A17" s="254" t="s">
        <v>2582</v>
      </c>
      <c r="B17" s="255">
        <v>1</v>
      </c>
      <c r="C17" s="256" t="s">
        <v>2536</v>
      </c>
      <c r="D17" s="256" t="s">
        <v>2583</v>
      </c>
      <c r="E17" s="256" t="s">
        <v>2537</v>
      </c>
      <c r="F17" s="256" t="s">
        <v>2538</v>
      </c>
      <c r="G17" s="256" t="s">
        <v>2584</v>
      </c>
      <c r="H17" s="256"/>
      <c r="I17" s="258" t="s">
        <v>2540</v>
      </c>
      <c r="J17" s="256" t="s">
        <v>2541</v>
      </c>
      <c r="K17" s="256" t="s">
        <v>2585</v>
      </c>
      <c r="L17" s="234"/>
      <c r="M17" s="234"/>
      <c r="N17" s="234">
        <f>B17-(L17+M17)</f>
        <v>1</v>
      </c>
      <c r="O17" s="237">
        <v>3</v>
      </c>
    </row>
    <row r="18" spans="1:15" s="231" customFormat="1" ht="28" x14ac:dyDescent="0.35">
      <c r="A18" s="246" t="s">
        <v>2586</v>
      </c>
      <c r="B18" s="257">
        <v>1</v>
      </c>
      <c r="C18" s="248" t="s">
        <v>2587</v>
      </c>
      <c r="D18" s="248" t="s">
        <v>2588</v>
      </c>
      <c r="E18" s="248" t="s">
        <v>2537</v>
      </c>
      <c r="F18" s="248" t="s">
        <v>1107</v>
      </c>
      <c r="G18" s="248" t="s">
        <v>2589</v>
      </c>
      <c r="H18" s="248" t="s">
        <v>2590</v>
      </c>
      <c r="I18" s="249" t="s">
        <v>2540</v>
      </c>
      <c r="J18" s="248" t="s">
        <v>2541</v>
      </c>
      <c r="K18" s="248"/>
      <c r="L18" s="232"/>
      <c r="M18" s="232"/>
      <c r="N18" s="232">
        <f>B18-(L18+M18)</f>
        <v>1</v>
      </c>
      <c r="O18" s="238">
        <v>3</v>
      </c>
    </row>
    <row r="19" spans="1:15" s="231" customFormat="1" ht="28" x14ac:dyDescent="0.35">
      <c r="A19" s="246" t="s">
        <v>2591</v>
      </c>
      <c r="B19" s="257" t="s">
        <v>2592</v>
      </c>
      <c r="C19" s="248" t="s">
        <v>2536</v>
      </c>
      <c r="D19" s="248" t="s">
        <v>2593</v>
      </c>
      <c r="E19" s="248" t="s">
        <v>2594</v>
      </c>
      <c r="F19" s="248" t="s">
        <v>1107</v>
      </c>
      <c r="G19" s="248" t="s">
        <v>2589</v>
      </c>
      <c r="H19" s="248" t="s">
        <v>2537</v>
      </c>
      <c r="I19" s="249" t="s">
        <v>2540</v>
      </c>
      <c r="J19" s="248" t="s">
        <v>2541</v>
      </c>
      <c r="K19" s="248"/>
      <c r="L19" s="232"/>
      <c r="M19" s="232"/>
      <c r="N19" s="232"/>
      <c r="O19" s="238">
        <v>3</v>
      </c>
    </row>
    <row r="20" spans="1:15" ht="28" x14ac:dyDescent="0.35">
      <c r="A20" s="246" t="s">
        <v>2595</v>
      </c>
      <c r="B20" s="257" t="s">
        <v>2592</v>
      </c>
      <c r="C20" s="248" t="s">
        <v>2536</v>
      </c>
      <c r="D20" s="248" t="s">
        <v>2596</v>
      </c>
      <c r="E20" s="248"/>
      <c r="F20" s="248"/>
      <c r="G20" s="248"/>
      <c r="H20" s="248" t="s">
        <v>2597</v>
      </c>
      <c r="I20" s="248" t="s">
        <v>2540</v>
      </c>
      <c r="J20" s="248" t="s">
        <v>2541</v>
      </c>
      <c r="K20" s="248"/>
      <c r="L20" s="232"/>
      <c r="M20" s="232"/>
      <c r="N20" s="232"/>
      <c r="O20" s="238">
        <v>3</v>
      </c>
    </row>
    <row r="21" spans="1:15" ht="28" x14ac:dyDescent="0.35">
      <c r="A21" s="246" t="s">
        <v>2598</v>
      </c>
      <c r="B21" s="257" t="s">
        <v>2592</v>
      </c>
      <c r="C21" s="248" t="s">
        <v>2536</v>
      </c>
      <c r="D21" s="248" t="s">
        <v>2596</v>
      </c>
      <c r="E21" s="248"/>
      <c r="F21" s="248"/>
      <c r="G21" s="248"/>
      <c r="H21" s="248" t="s">
        <v>2597</v>
      </c>
      <c r="I21" s="248" t="s">
        <v>2540</v>
      </c>
      <c r="J21" s="248" t="s">
        <v>2541</v>
      </c>
      <c r="K21" s="248"/>
      <c r="L21" s="232"/>
      <c r="M21" s="232"/>
      <c r="N21" s="232"/>
      <c r="O21" s="238">
        <v>3</v>
      </c>
    </row>
    <row r="22" spans="1:15" ht="28" x14ac:dyDescent="0.35">
      <c r="A22" s="246" t="s">
        <v>2599</v>
      </c>
      <c r="B22" s="257" t="s">
        <v>2592</v>
      </c>
      <c r="C22" s="248" t="s">
        <v>2536</v>
      </c>
      <c r="D22" s="248" t="s">
        <v>2596</v>
      </c>
      <c r="E22" s="248"/>
      <c r="F22" s="248"/>
      <c r="G22" s="248"/>
      <c r="H22" s="248" t="s">
        <v>2597</v>
      </c>
      <c r="I22" s="248" t="s">
        <v>2540</v>
      </c>
      <c r="J22" s="248" t="s">
        <v>2541</v>
      </c>
      <c r="K22" s="248"/>
      <c r="L22" s="232"/>
      <c r="M22" s="232"/>
      <c r="N22" s="232"/>
      <c r="O22" s="238">
        <v>3</v>
      </c>
    </row>
    <row r="23" spans="1:15" ht="28" x14ac:dyDescent="0.35">
      <c r="A23" s="246" t="s">
        <v>2600</v>
      </c>
      <c r="B23" s="257" t="s">
        <v>2592</v>
      </c>
      <c r="C23" s="248" t="s">
        <v>2536</v>
      </c>
      <c r="D23" s="248" t="s">
        <v>2596</v>
      </c>
      <c r="E23" s="248"/>
      <c r="F23" s="248"/>
      <c r="G23" s="248"/>
      <c r="H23" s="248" t="s">
        <v>2597</v>
      </c>
      <c r="I23" s="248" t="s">
        <v>2540</v>
      </c>
      <c r="J23" s="248" t="s">
        <v>2541</v>
      </c>
      <c r="K23" s="248"/>
      <c r="L23" s="232"/>
      <c r="M23" s="232"/>
      <c r="N23" s="232"/>
      <c r="O23" s="238">
        <v>3</v>
      </c>
    </row>
    <row r="24" spans="1:15" ht="28" x14ac:dyDescent="0.35">
      <c r="A24" s="246" t="s">
        <v>2601</v>
      </c>
      <c r="B24" s="257" t="s">
        <v>2592</v>
      </c>
      <c r="C24" s="248" t="s">
        <v>2536</v>
      </c>
      <c r="D24" s="248" t="s">
        <v>2596</v>
      </c>
      <c r="E24" s="248"/>
      <c r="F24" s="248"/>
      <c r="G24" s="248"/>
      <c r="H24" s="248" t="s">
        <v>2597</v>
      </c>
      <c r="I24" s="248" t="s">
        <v>2540</v>
      </c>
      <c r="J24" s="248" t="s">
        <v>2541</v>
      </c>
      <c r="K24" s="248"/>
      <c r="L24" s="232"/>
      <c r="M24" s="232"/>
      <c r="N24" s="232"/>
      <c r="O24" s="238">
        <v>3</v>
      </c>
    </row>
    <row r="25" spans="1:15" ht="28" x14ac:dyDescent="0.35">
      <c r="A25" s="246" t="s">
        <v>2602</v>
      </c>
      <c r="B25" s="247">
        <v>1</v>
      </c>
      <c r="C25" s="248" t="s">
        <v>2543</v>
      </c>
      <c r="D25" s="248" t="s">
        <v>2603</v>
      </c>
      <c r="E25" s="248" t="s">
        <v>2537</v>
      </c>
      <c r="F25" s="248" t="s">
        <v>2538</v>
      </c>
      <c r="G25" s="248" t="s">
        <v>2546</v>
      </c>
      <c r="H25" s="248" t="s">
        <v>2574</v>
      </c>
      <c r="I25" s="249" t="s">
        <v>2540</v>
      </c>
      <c r="J25" s="248" t="s">
        <v>2541</v>
      </c>
      <c r="K25" s="248"/>
      <c r="L25" s="183"/>
      <c r="M25" s="183"/>
      <c r="N25" s="232">
        <f>B25-(L25+M25)</f>
        <v>1</v>
      </c>
      <c r="O25" s="238">
        <v>3</v>
      </c>
    </row>
    <row r="26" spans="1:15" ht="28" x14ac:dyDescent="0.35">
      <c r="A26" s="246" t="s">
        <v>2604</v>
      </c>
      <c r="B26" s="247">
        <v>1</v>
      </c>
      <c r="C26" s="248" t="s">
        <v>2543</v>
      </c>
      <c r="D26" s="248" t="s">
        <v>2537</v>
      </c>
      <c r="E26" s="248" t="s">
        <v>2545</v>
      </c>
      <c r="F26" s="248" t="s">
        <v>2538</v>
      </c>
      <c r="G26" s="248" t="s">
        <v>2605</v>
      </c>
      <c r="H26" s="248" t="s">
        <v>2574</v>
      </c>
      <c r="I26" s="249" t="s">
        <v>2540</v>
      </c>
      <c r="J26" s="248" t="s">
        <v>2541</v>
      </c>
      <c r="K26" s="248"/>
      <c r="L26" s="183"/>
      <c r="M26" s="183"/>
      <c r="N26" s="232">
        <f>B26-(L26+M26)</f>
        <v>1</v>
      </c>
      <c r="O26" s="238">
        <v>3</v>
      </c>
    </row>
    <row r="27" spans="1:15" ht="28" x14ac:dyDescent="0.35">
      <c r="A27" s="246" t="s">
        <v>2606</v>
      </c>
      <c r="B27" s="247">
        <v>1</v>
      </c>
      <c r="C27" s="248" t="s">
        <v>2543</v>
      </c>
      <c r="D27" s="248" t="s">
        <v>2569</v>
      </c>
      <c r="E27" s="248" t="s">
        <v>2537</v>
      </c>
      <c r="F27" s="248" t="s">
        <v>2538</v>
      </c>
      <c r="G27" s="248" t="s">
        <v>2546</v>
      </c>
      <c r="H27" s="248" t="s">
        <v>2607</v>
      </c>
      <c r="I27" s="249" t="s">
        <v>2540</v>
      </c>
      <c r="J27" s="248" t="s">
        <v>2541</v>
      </c>
      <c r="K27" s="248"/>
      <c r="L27" s="183"/>
      <c r="M27" s="183"/>
      <c r="N27" s="232">
        <f>B27-(L27+M27)</f>
        <v>1</v>
      </c>
      <c r="O27" s="238">
        <v>3</v>
      </c>
    </row>
    <row r="28" spans="1:15" ht="56" x14ac:dyDescent="0.35">
      <c r="A28" s="246" t="s">
        <v>2608</v>
      </c>
      <c r="B28" s="247">
        <v>1</v>
      </c>
      <c r="C28" s="248" t="s">
        <v>2543</v>
      </c>
      <c r="D28" s="248" t="s">
        <v>2537</v>
      </c>
      <c r="E28" s="248" t="s">
        <v>2537</v>
      </c>
      <c r="F28" s="248" t="s">
        <v>2538</v>
      </c>
      <c r="G28" s="248" t="s">
        <v>2546</v>
      </c>
      <c r="H28" s="248" t="s">
        <v>2609</v>
      </c>
      <c r="I28" s="249" t="s">
        <v>2540</v>
      </c>
      <c r="J28" s="248" t="s">
        <v>2541</v>
      </c>
      <c r="K28" s="248" t="s">
        <v>2610</v>
      </c>
      <c r="L28" s="183"/>
      <c r="M28" s="183"/>
      <c r="N28" s="232">
        <f>B28-(L28+M28)</f>
        <v>1</v>
      </c>
      <c r="O28" s="238">
        <v>3</v>
      </c>
    </row>
    <row r="29" spans="1:15" ht="42" x14ac:dyDescent="0.35">
      <c r="A29" s="246" t="s">
        <v>2611</v>
      </c>
      <c r="B29" s="247">
        <v>2</v>
      </c>
      <c r="C29" s="248" t="s">
        <v>2543</v>
      </c>
      <c r="D29" s="248" t="s">
        <v>2553</v>
      </c>
      <c r="E29" s="248" t="s">
        <v>2545</v>
      </c>
      <c r="F29" s="248" t="s">
        <v>2538</v>
      </c>
      <c r="G29" s="248" t="s">
        <v>2546</v>
      </c>
      <c r="H29" s="248" t="s">
        <v>2612</v>
      </c>
      <c r="I29" s="249" t="s">
        <v>2540</v>
      </c>
      <c r="J29" s="249" t="s">
        <v>2541</v>
      </c>
      <c r="K29" s="248"/>
      <c r="L29" s="183"/>
      <c r="M29" s="183">
        <v>2</v>
      </c>
      <c r="N29" s="232"/>
      <c r="O29" s="238">
        <v>3</v>
      </c>
    </row>
    <row r="30" spans="1:15" ht="28" x14ac:dyDescent="0.35">
      <c r="A30" s="246" t="s">
        <v>2613</v>
      </c>
      <c r="B30" s="247">
        <v>0</v>
      </c>
      <c r="C30" s="248" t="s">
        <v>2543</v>
      </c>
      <c r="D30" s="248" t="s">
        <v>2537</v>
      </c>
      <c r="E30" s="248" t="s">
        <v>2614</v>
      </c>
      <c r="F30" s="248" t="s">
        <v>2538</v>
      </c>
      <c r="G30" s="248" t="s">
        <v>2546</v>
      </c>
      <c r="H30" s="248" t="s">
        <v>2615</v>
      </c>
      <c r="I30" s="249" t="s">
        <v>2540</v>
      </c>
      <c r="J30" s="248" t="s">
        <v>2541</v>
      </c>
      <c r="K30" s="248"/>
      <c r="L30" s="183"/>
      <c r="M30" s="183"/>
      <c r="N30" s="232"/>
      <c r="O30" s="238">
        <v>3</v>
      </c>
    </row>
    <row r="31" spans="1:15" ht="28" x14ac:dyDescent="0.35">
      <c r="A31" s="246" t="s">
        <v>2616</v>
      </c>
      <c r="B31" s="257">
        <v>0</v>
      </c>
      <c r="C31" s="248" t="s">
        <v>2536</v>
      </c>
      <c r="D31" s="248" t="s">
        <v>2617</v>
      </c>
      <c r="E31" s="248" t="s">
        <v>2537</v>
      </c>
      <c r="F31" s="248" t="s">
        <v>2538</v>
      </c>
      <c r="G31" s="248" t="s">
        <v>2618</v>
      </c>
      <c r="H31" s="248" t="s">
        <v>2619</v>
      </c>
      <c r="I31" s="249" t="s">
        <v>2540</v>
      </c>
      <c r="J31" s="248" t="s">
        <v>2541</v>
      </c>
      <c r="K31" s="248" t="s">
        <v>2620</v>
      </c>
      <c r="L31" s="232"/>
      <c r="M31" s="232"/>
      <c r="N31" s="232">
        <f>B31-(L31+M31)</f>
        <v>0</v>
      </c>
      <c r="O31" s="239">
        <v>4</v>
      </c>
    </row>
    <row r="32" spans="1:15" ht="18" x14ac:dyDescent="0.35">
      <c r="A32" s="246" t="s">
        <v>2621</v>
      </c>
      <c r="B32" s="257">
        <v>1</v>
      </c>
      <c r="C32" s="248" t="s">
        <v>2536</v>
      </c>
      <c r="D32" s="248"/>
      <c r="E32" s="249" t="s">
        <v>2545</v>
      </c>
      <c r="F32" s="249" t="s">
        <v>2538</v>
      </c>
      <c r="G32" s="248" t="s">
        <v>2546</v>
      </c>
      <c r="H32" s="248" t="s">
        <v>2597</v>
      </c>
      <c r="I32" s="249" t="s">
        <v>2540</v>
      </c>
      <c r="J32" s="248"/>
      <c r="K32" s="248" t="s">
        <v>2622</v>
      </c>
      <c r="L32" s="232">
        <v>1</v>
      </c>
      <c r="M32" s="232"/>
      <c r="N32" s="232"/>
      <c r="O32" s="239">
        <v>4</v>
      </c>
    </row>
    <row r="33" spans="1:15" ht="28" x14ac:dyDescent="0.35">
      <c r="A33" s="246" t="s">
        <v>2623</v>
      </c>
      <c r="B33" s="247">
        <v>1</v>
      </c>
      <c r="C33" s="248" t="s">
        <v>2543</v>
      </c>
      <c r="D33" s="248" t="s">
        <v>2544</v>
      </c>
      <c r="E33" s="249" t="s">
        <v>2545</v>
      </c>
      <c r="F33" s="249" t="s">
        <v>2538</v>
      </c>
      <c r="G33" s="248" t="s">
        <v>2546</v>
      </c>
      <c r="H33" s="248"/>
      <c r="I33" s="249" t="s">
        <v>2540</v>
      </c>
      <c r="J33" s="248" t="s">
        <v>2541</v>
      </c>
      <c r="K33" s="248"/>
      <c r="L33" s="183">
        <v>1</v>
      </c>
      <c r="M33" s="183"/>
      <c r="N33" s="232"/>
      <c r="O33" s="239">
        <v>4</v>
      </c>
    </row>
    <row r="34" spans="1:15" ht="28" x14ac:dyDescent="0.35">
      <c r="A34" s="246" t="s">
        <v>2624</v>
      </c>
      <c r="B34" s="247">
        <v>1</v>
      </c>
      <c r="C34" s="248" t="s">
        <v>2543</v>
      </c>
      <c r="D34" s="248" t="s">
        <v>2625</v>
      </c>
      <c r="E34" s="248" t="s">
        <v>2545</v>
      </c>
      <c r="F34" s="248" t="s">
        <v>2538</v>
      </c>
      <c r="G34" s="248" t="s">
        <v>2546</v>
      </c>
      <c r="H34" s="248"/>
      <c r="I34" s="249" t="s">
        <v>2540</v>
      </c>
      <c r="J34" s="248" t="s">
        <v>2541</v>
      </c>
      <c r="K34" s="248"/>
      <c r="L34" s="183">
        <v>1</v>
      </c>
      <c r="M34" s="183"/>
      <c r="N34" s="232"/>
      <c r="O34" s="239">
        <v>4</v>
      </c>
    </row>
    <row r="35" spans="1:15" ht="18" x14ac:dyDescent="0.35">
      <c r="A35" s="246" t="s">
        <v>2626</v>
      </c>
      <c r="B35" s="247">
        <v>1</v>
      </c>
      <c r="C35" s="248" t="s">
        <v>2543</v>
      </c>
      <c r="D35" s="248" t="s">
        <v>2537</v>
      </c>
      <c r="E35" s="248" t="s">
        <v>2627</v>
      </c>
      <c r="F35" s="249" t="s">
        <v>2538</v>
      </c>
      <c r="G35" s="248" t="s">
        <v>2546</v>
      </c>
      <c r="H35" s="248"/>
      <c r="I35" s="249" t="s">
        <v>2540</v>
      </c>
      <c r="J35" s="248"/>
      <c r="K35" s="248" t="s">
        <v>2628</v>
      </c>
      <c r="L35" s="183">
        <v>1</v>
      </c>
      <c r="M35" s="183"/>
      <c r="N35" s="232"/>
      <c r="O35" s="239">
        <v>4</v>
      </c>
    </row>
    <row r="36" spans="1:15" ht="28" x14ac:dyDescent="0.35">
      <c r="A36" s="246" t="s">
        <v>2629</v>
      </c>
      <c r="B36" s="247">
        <v>1</v>
      </c>
      <c r="C36" s="248" t="s">
        <v>2543</v>
      </c>
      <c r="D36" s="248" t="s">
        <v>2537</v>
      </c>
      <c r="E36" s="248" t="s">
        <v>2630</v>
      </c>
      <c r="F36" s="249" t="s">
        <v>2538</v>
      </c>
      <c r="G36" s="248" t="s">
        <v>2546</v>
      </c>
      <c r="H36" s="248"/>
      <c r="I36" s="249" t="s">
        <v>2540</v>
      </c>
      <c r="J36" s="248" t="s">
        <v>2541</v>
      </c>
      <c r="K36" s="248" t="s">
        <v>2628</v>
      </c>
      <c r="L36" s="183">
        <v>1</v>
      </c>
      <c r="M36" s="183"/>
      <c r="N36" s="232"/>
      <c r="O36" s="239">
        <v>4</v>
      </c>
    </row>
    <row r="37" spans="1:15" ht="28" x14ac:dyDescent="0.35">
      <c r="A37" s="246" t="s">
        <v>2631</v>
      </c>
      <c r="B37" s="257">
        <v>0</v>
      </c>
      <c r="C37" s="248" t="s">
        <v>2536</v>
      </c>
      <c r="D37" s="249" t="s">
        <v>2583</v>
      </c>
      <c r="E37" s="248" t="s">
        <v>2537</v>
      </c>
      <c r="F37" s="249" t="s">
        <v>2538</v>
      </c>
      <c r="G37" s="248"/>
      <c r="H37" s="248" t="s">
        <v>2607</v>
      </c>
      <c r="I37" s="249" t="s">
        <v>2540</v>
      </c>
      <c r="J37" s="248" t="s">
        <v>2541</v>
      </c>
      <c r="K37" s="248"/>
      <c r="L37" s="232"/>
      <c r="M37" s="232"/>
      <c r="N37" s="232"/>
      <c r="O37" s="240">
        <v>5</v>
      </c>
    </row>
    <row r="38" spans="1:15" ht="28" x14ac:dyDescent="0.35">
      <c r="A38" s="246" t="s">
        <v>2632</v>
      </c>
      <c r="B38" s="257">
        <v>1</v>
      </c>
      <c r="C38" s="248" t="s">
        <v>2536</v>
      </c>
      <c r="D38" s="248" t="s">
        <v>2565</v>
      </c>
      <c r="E38" s="248"/>
      <c r="F38" s="248" t="s">
        <v>2538</v>
      </c>
      <c r="G38" s="248" t="s">
        <v>2605</v>
      </c>
      <c r="H38" s="248"/>
      <c r="I38" s="249" t="s">
        <v>2540</v>
      </c>
      <c r="J38" s="248" t="s">
        <v>2541</v>
      </c>
      <c r="K38" s="248"/>
      <c r="L38" s="232"/>
      <c r="M38" s="232"/>
      <c r="N38" s="232">
        <f>B38-(L38+M38)</f>
        <v>1</v>
      </c>
      <c r="O38" s="240">
        <v>5</v>
      </c>
    </row>
    <row r="39" spans="1:15" ht="28" x14ac:dyDescent="0.35">
      <c r="A39" s="246" t="s">
        <v>2633</v>
      </c>
      <c r="B39" s="247">
        <v>0</v>
      </c>
      <c r="C39" s="248" t="s">
        <v>2634</v>
      </c>
      <c r="D39" s="248" t="s">
        <v>2569</v>
      </c>
      <c r="E39" s="248" t="s">
        <v>2635</v>
      </c>
      <c r="F39" s="248" t="s">
        <v>2537</v>
      </c>
      <c r="G39" s="248"/>
      <c r="H39" s="248" t="s">
        <v>2574</v>
      </c>
      <c r="I39" s="249" t="s">
        <v>2540</v>
      </c>
      <c r="J39" s="248" t="s">
        <v>2541</v>
      </c>
      <c r="K39" s="248"/>
      <c r="L39" s="183"/>
      <c r="M39" s="183"/>
      <c r="N39" s="232"/>
      <c r="O39" s="240">
        <v>5</v>
      </c>
    </row>
    <row r="40" spans="1:15" ht="18" x14ac:dyDescent="0.35">
      <c r="A40" s="246" t="s">
        <v>2636</v>
      </c>
      <c r="B40" s="247">
        <v>0</v>
      </c>
      <c r="C40" s="248" t="s">
        <v>2543</v>
      </c>
      <c r="D40" s="248" t="s">
        <v>2537</v>
      </c>
      <c r="E40" s="248" t="s">
        <v>2537</v>
      </c>
      <c r="F40" s="248" t="s">
        <v>2537</v>
      </c>
      <c r="G40" s="248" t="s">
        <v>2569</v>
      </c>
      <c r="H40" s="248" t="s">
        <v>2574</v>
      </c>
      <c r="I40" s="249" t="s">
        <v>2540</v>
      </c>
      <c r="J40" s="248"/>
      <c r="K40" s="248"/>
      <c r="L40" s="183"/>
      <c r="M40" s="183"/>
      <c r="N40" s="232"/>
      <c r="O40" s="240">
        <v>5</v>
      </c>
    </row>
    <row r="41" spans="1:15" ht="28" x14ac:dyDescent="0.35">
      <c r="A41" s="246" t="s">
        <v>2637</v>
      </c>
      <c r="B41" s="247">
        <v>0</v>
      </c>
      <c r="C41" s="248" t="s">
        <v>2543</v>
      </c>
      <c r="D41" s="248" t="s">
        <v>2553</v>
      </c>
      <c r="E41" s="248" t="s">
        <v>2545</v>
      </c>
      <c r="F41" s="248" t="s">
        <v>2538</v>
      </c>
      <c r="G41" s="248" t="s">
        <v>2546</v>
      </c>
      <c r="H41" s="248" t="s">
        <v>2574</v>
      </c>
      <c r="I41" s="249" t="s">
        <v>2540</v>
      </c>
      <c r="J41" s="248" t="s">
        <v>2541</v>
      </c>
      <c r="K41" s="248"/>
      <c r="L41" s="183">
        <v>1</v>
      </c>
      <c r="M41" s="183"/>
      <c r="N41" s="232"/>
      <c r="O41" s="240">
        <v>5</v>
      </c>
    </row>
    <row r="42" spans="1:15" ht="42" x14ac:dyDescent="0.35">
      <c r="A42" s="246" t="s">
        <v>2638</v>
      </c>
      <c r="B42" s="247">
        <v>1</v>
      </c>
      <c r="C42" s="248" t="s">
        <v>2543</v>
      </c>
      <c r="D42" s="248" t="s">
        <v>2537</v>
      </c>
      <c r="E42" s="249" t="s">
        <v>2639</v>
      </c>
      <c r="F42" s="248" t="s">
        <v>2538</v>
      </c>
      <c r="G42" s="248" t="s">
        <v>2546</v>
      </c>
      <c r="H42" s="248" t="s">
        <v>2581</v>
      </c>
      <c r="I42" s="249" t="s">
        <v>2540</v>
      </c>
      <c r="J42" s="248" t="s">
        <v>2541</v>
      </c>
      <c r="K42" s="248" t="s">
        <v>2640</v>
      </c>
      <c r="L42" s="183"/>
      <c r="M42" s="183">
        <v>1</v>
      </c>
      <c r="N42" s="232"/>
      <c r="O42" s="240">
        <v>5</v>
      </c>
    </row>
    <row r="43" spans="1:15" ht="28" x14ac:dyDescent="0.35">
      <c r="A43" s="246" t="s">
        <v>2641</v>
      </c>
      <c r="B43" s="247">
        <v>1</v>
      </c>
      <c r="C43" s="248" t="s">
        <v>2543</v>
      </c>
      <c r="D43" s="248" t="s">
        <v>2537</v>
      </c>
      <c r="E43" s="248" t="s">
        <v>2537</v>
      </c>
      <c r="F43" s="248" t="s">
        <v>2538</v>
      </c>
      <c r="G43" s="248" t="s">
        <v>2546</v>
      </c>
      <c r="H43" s="248" t="s">
        <v>2547</v>
      </c>
      <c r="I43" s="249" t="s">
        <v>2540</v>
      </c>
      <c r="J43" s="248" t="s">
        <v>2541</v>
      </c>
      <c r="K43" s="248"/>
      <c r="L43" s="183"/>
      <c r="M43" s="183"/>
      <c r="N43" s="232">
        <f>B43-(L43+M43)</f>
        <v>1</v>
      </c>
      <c r="O43" s="240">
        <v>5</v>
      </c>
    </row>
    <row r="44" spans="1:15" ht="28" x14ac:dyDescent="0.35">
      <c r="A44" s="246" t="s">
        <v>2642</v>
      </c>
      <c r="B44" s="247">
        <v>1</v>
      </c>
      <c r="C44" s="248" t="s">
        <v>2543</v>
      </c>
      <c r="D44" s="249" t="s">
        <v>2643</v>
      </c>
      <c r="E44" s="249" t="s">
        <v>2545</v>
      </c>
      <c r="F44" s="249" t="s">
        <v>2538</v>
      </c>
      <c r="G44" s="248" t="s">
        <v>2546</v>
      </c>
      <c r="H44" s="248"/>
      <c r="I44" s="249" t="s">
        <v>2540</v>
      </c>
      <c r="J44" s="248" t="s">
        <v>2541</v>
      </c>
      <c r="K44" s="248"/>
      <c r="L44" s="183"/>
      <c r="M44" s="183">
        <v>1</v>
      </c>
      <c r="N44" s="232"/>
      <c r="O44" s="240">
        <v>5</v>
      </c>
    </row>
    <row r="45" spans="1:15" ht="28" x14ac:dyDescent="0.35">
      <c r="A45" s="246" t="s">
        <v>2644</v>
      </c>
      <c r="B45" s="247" t="s">
        <v>1720</v>
      </c>
      <c r="C45" s="248" t="s">
        <v>2543</v>
      </c>
      <c r="D45" s="248" t="s">
        <v>2569</v>
      </c>
      <c r="E45" s="248"/>
      <c r="F45" s="248" t="s">
        <v>2645</v>
      </c>
      <c r="G45" s="248" t="s">
        <v>2618</v>
      </c>
      <c r="H45" s="248"/>
      <c r="I45" s="249" t="s">
        <v>2540</v>
      </c>
      <c r="J45" s="248" t="s">
        <v>2541</v>
      </c>
      <c r="K45" s="248"/>
      <c r="L45" s="183"/>
      <c r="M45" s="183"/>
      <c r="N45" s="232"/>
      <c r="O45" s="240">
        <v>5</v>
      </c>
    </row>
    <row r="46" spans="1:15" ht="28" x14ac:dyDescent="0.35">
      <c r="A46" s="246" t="s">
        <v>2646</v>
      </c>
      <c r="B46" s="247" t="s">
        <v>1720</v>
      </c>
      <c r="C46" s="248" t="s">
        <v>2543</v>
      </c>
      <c r="D46" s="248" t="s">
        <v>2537</v>
      </c>
      <c r="E46" s="248" t="s">
        <v>2537</v>
      </c>
      <c r="F46" s="248" t="s">
        <v>2538</v>
      </c>
      <c r="G46" s="248" t="s">
        <v>2618</v>
      </c>
      <c r="H46" s="248" t="s">
        <v>2647</v>
      </c>
      <c r="I46" s="249" t="s">
        <v>2540</v>
      </c>
      <c r="J46" s="248" t="s">
        <v>2541</v>
      </c>
      <c r="K46" s="248"/>
      <c r="L46" s="183"/>
      <c r="M46" s="183"/>
      <c r="N46" s="232"/>
      <c r="O46" s="240">
        <v>5</v>
      </c>
    </row>
    <row r="47" spans="1:15" ht="42" x14ac:dyDescent="0.35">
      <c r="A47" s="246" t="s">
        <v>2648</v>
      </c>
      <c r="B47" s="247">
        <v>0</v>
      </c>
      <c r="C47" s="248" t="s">
        <v>2543</v>
      </c>
      <c r="D47" s="248" t="s">
        <v>2537</v>
      </c>
      <c r="E47" s="248" t="s">
        <v>2569</v>
      </c>
      <c r="F47" s="248" t="s">
        <v>2538</v>
      </c>
      <c r="G47" s="248" t="s">
        <v>2618</v>
      </c>
      <c r="H47" s="248" t="s">
        <v>2649</v>
      </c>
      <c r="I47" s="249" t="s">
        <v>2540</v>
      </c>
      <c r="J47" s="248" t="s">
        <v>2541</v>
      </c>
      <c r="K47" s="248"/>
      <c r="L47" s="183"/>
      <c r="M47" s="183"/>
      <c r="N47" s="232"/>
      <c r="O47" s="240">
        <v>5</v>
      </c>
    </row>
    <row r="48" spans="1:15" ht="42" x14ac:dyDescent="0.35">
      <c r="A48" s="250" t="s">
        <v>2650</v>
      </c>
      <c r="B48" s="251">
        <v>1</v>
      </c>
      <c r="C48" s="252" t="s">
        <v>2543</v>
      </c>
      <c r="D48" s="252" t="s">
        <v>2553</v>
      </c>
      <c r="E48" s="252" t="s">
        <v>2651</v>
      </c>
      <c r="F48" s="252" t="s">
        <v>2558</v>
      </c>
      <c r="G48" s="252" t="s">
        <v>2618</v>
      </c>
      <c r="H48" s="252"/>
      <c r="I48" s="253" t="s">
        <v>2540</v>
      </c>
      <c r="J48" s="252" t="s">
        <v>2541</v>
      </c>
      <c r="K48" s="252" t="s">
        <v>2652</v>
      </c>
      <c r="L48" s="183"/>
      <c r="M48" s="183">
        <v>1</v>
      </c>
      <c r="N48" s="232"/>
      <c r="O48" s="240">
        <v>5</v>
      </c>
    </row>
    <row r="49" spans="1:14" x14ac:dyDescent="0.35">
      <c r="A49" s="259" t="s">
        <v>2653</v>
      </c>
      <c r="B49" s="260"/>
      <c r="C49" s="261"/>
      <c r="D49" s="261"/>
      <c r="E49" s="261"/>
      <c r="F49" s="261"/>
      <c r="G49" s="261"/>
      <c r="H49" s="261"/>
      <c r="I49" s="262"/>
      <c r="J49" s="261"/>
      <c r="K49" s="261"/>
      <c r="L49" s="121"/>
      <c r="M49" s="121"/>
      <c r="N49" s="133"/>
    </row>
    <row r="50" spans="1:14" x14ac:dyDescent="0.35">
      <c r="A50" s="263" t="s">
        <v>2654</v>
      </c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121">
        <v>1</v>
      </c>
      <c r="M50" s="121"/>
      <c r="N50" s="133"/>
    </row>
    <row r="51" spans="1:14" x14ac:dyDescent="0.35">
      <c r="L51" s="241">
        <f>SUM(L5:L50)</f>
        <v>11</v>
      </c>
      <c r="M51" s="241">
        <f>SUM(M5:M50)</f>
        <v>15</v>
      </c>
      <c r="N51" s="241">
        <f>SUM(N5:N50)</f>
        <v>8</v>
      </c>
    </row>
    <row r="52" spans="1:14" x14ac:dyDescent="0.35">
      <c r="A52" s="228" t="s">
        <v>2655</v>
      </c>
      <c r="N52" s="231"/>
    </row>
    <row r="53" spans="1:14" x14ac:dyDescent="0.35">
      <c r="A53" s="224" t="s">
        <v>2656</v>
      </c>
      <c r="B53" s="231"/>
      <c r="C53" s="231"/>
      <c r="D53" s="231"/>
      <c r="I53" s="228" t="s">
        <v>2657</v>
      </c>
    </row>
    <row r="54" spans="1:14" x14ac:dyDescent="0.35">
      <c r="A54" s="228" t="s">
        <v>2658</v>
      </c>
      <c r="B54" s="224" t="s">
        <v>2659</v>
      </c>
      <c r="C54" s="231"/>
      <c r="D54" s="231"/>
      <c r="I54" s="228" t="s">
        <v>2660</v>
      </c>
      <c r="J54" s="224">
        <v>34</v>
      </c>
      <c r="K54" s="224" t="s">
        <v>2661</v>
      </c>
    </row>
    <row r="55" spans="1:14" ht="28" x14ac:dyDescent="0.35">
      <c r="A55" s="228"/>
      <c r="B55" s="549" t="s">
        <v>2662</v>
      </c>
      <c r="C55" s="549"/>
      <c r="I55" s="231" t="s">
        <v>2663</v>
      </c>
      <c r="J55" s="266" t="s">
        <v>2664</v>
      </c>
      <c r="K55" s="224" t="s">
        <v>2665</v>
      </c>
    </row>
    <row r="56" spans="1:14" x14ac:dyDescent="0.35">
      <c r="A56" s="228" t="s">
        <v>2666</v>
      </c>
      <c r="B56" s="224" t="s">
        <v>2667</v>
      </c>
      <c r="I56" s="224" t="s">
        <v>2668</v>
      </c>
      <c r="J56" s="224">
        <v>35</v>
      </c>
    </row>
    <row r="57" spans="1:14" x14ac:dyDescent="0.35">
      <c r="A57" s="228" t="s">
        <v>2669</v>
      </c>
      <c r="B57" s="224" t="s">
        <v>2670</v>
      </c>
      <c r="I57" s="224" t="s">
        <v>2671</v>
      </c>
      <c r="J57" s="224">
        <v>34</v>
      </c>
    </row>
    <row r="58" spans="1:14" x14ac:dyDescent="0.35">
      <c r="B58" s="224" t="s">
        <v>2672</v>
      </c>
      <c r="I58" s="224" t="s">
        <v>2673</v>
      </c>
      <c r="J58" s="224">
        <v>18</v>
      </c>
    </row>
    <row r="59" spans="1:14" x14ac:dyDescent="0.35">
      <c r="B59" s="224" t="s">
        <v>2674</v>
      </c>
      <c r="I59" s="224" t="s">
        <v>2573</v>
      </c>
      <c r="J59" s="224">
        <v>8</v>
      </c>
    </row>
    <row r="60" spans="1:14" x14ac:dyDescent="0.35">
      <c r="B60" s="224" t="s">
        <v>2675</v>
      </c>
      <c r="I60" s="224" t="s">
        <v>2676</v>
      </c>
      <c r="J60" s="224">
        <v>2</v>
      </c>
    </row>
    <row r="61" spans="1:14" x14ac:dyDescent="0.35">
      <c r="B61" s="224" t="s">
        <v>2677</v>
      </c>
      <c r="I61" s="224" t="s">
        <v>2678</v>
      </c>
      <c r="J61" s="224">
        <v>22</v>
      </c>
    </row>
    <row r="62" spans="1:14" x14ac:dyDescent="0.35">
      <c r="I62" s="224" t="s">
        <v>2679</v>
      </c>
      <c r="J62" s="266" t="s">
        <v>2664</v>
      </c>
    </row>
    <row r="63" spans="1:14" x14ac:dyDescent="0.35">
      <c r="I63" s="224" t="s">
        <v>2680</v>
      </c>
      <c r="J63" s="224">
        <v>5</v>
      </c>
      <c r="K63" s="224" t="s">
        <v>2681</v>
      </c>
    </row>
  </sheetData>
  <mergeCells count="2">
    <mergeCell ref="L3:M3"/>
    <mergeCell ref="B55:C55"/>
  </mergeCell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1200-000000000000}">
          <x14:formula1>
            <xm:f>'Asset Condition Ratings'!$C$6:$C$10</xm:f>
          </x14:formula1>
          <xm:sqref>J4:K200</xm:sqref>
        </x14:dataValidation>
        <x14:dataValidation type="list" allowBlank="1" showInputMessage="1" showErrorMessage="1" xr:uid="{00000000-0002-0000-1200-000001000000}">
          <x14:formula1>
            <xm:f>'Asset Condition Ratings'!$C$11:$C$16</xm:f>
          </x14:formula1>
          <xm:sqref>J201</xm:sqref>
        </x14:dataValidation>
        <x14:dataValidation type="list" allowBlank="1" showInputMessage="1" showErrorMessage="1" xr:uid="{00000000-0002-0000-1200-000002000000}">
          <x14:formula1>
            <xm:f>'Validation Lists'!$B$3:$B$16</xm:f>
          </x14:formula1>
          <xm:sqref>C201</xm:sqref>
        </x14:dataValidation>
        <x14:dataValidation type="list" allowBlank="1" showInputMessage="1" showErrorMessage="1" xr:uid="{00000000-0002-0000-1200-000003000000}">
          <x14:formula1>
            <xm:f>'Validation Lists'!$B$18:$B$79</xm:f>
          </x14:formula1>
          <xm:sqref>D4:D201</xm:sqref>
        </x14:dataValidation>
        <x14:dataValidation type="list" allowBlank="1" showInputMessage="1" showErrorMessage="1" xr:uid="{00000000-0002-0000-1200-000004000000}">
          <x14:formula1>
            <xm:f>'Asset Condition Ratings'!$C$2:$C$7</xm:f>
          </x14:formula1>
          <xm:sqref>K201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P199"/>
  <sheetViews>
    <sheetView topLeftCell="I1" workbookViewId="0">
      <selection activeCell="Q7" sqref="Q7"/>
    </sheetView>
  </sheetViews>
  <sheetFormatPr defaultColWidth="8.81640625" defaultRowHeight="14" x14ac:dyDescent="0.35"/>
  <cols>
    <col min="1" max="1" width="8.81640625" style="121"/>
    <col min="2" max="3" width="21.1796875" style="121" customWidth="1"/>
    <col min="4" max="4" width="25.6328125" style="121" bestFit="1" customWidth="1"/>
    <col min="5" max="10" width="18.6328125" style="121" customWidth="1"/>
    <col min="11" max="11" width="16.453125" style="121" customWidth="1"/>
    <col min="12" max="14" width="18.6328125" style="121" customWidth="1"/>
    <col min="15" max="15" width="20.453125" style="121" customWidth="1"/>
    <col min="16" max="16" width="18.6328125" style="121" customWidth="1"/>
    <col min="17" max="16384" width="8.81640625" style="120"/>
  </cols>
  <sheetData>
    <row r="2" spans="1:15" ht="29" customHeight="1" x14ac:dyDescent="0.35">
      <c r="A2" s="467" t="s">
        <v>111</v>
      </c>
      <c r="B2" s="518"/>
      <c r="C2" s="518"/>
      <c r="D2" s="518"/>
      <c r="E2" s="527" t="s">
        <v>110</v>
      </c>
      <c r="F2" s="528"/>
      <c r="G2" s="529"/>
      <c r="H2" s="519" t="s">
        <v>109</v>
      </c>
      <c r="I2" s="520"/>
      <c r="J2" s="520"/>
      <c r="K2" s="520"/>
      <c r="L2" s="520"/>
      <c r="M2" s="521" t="s">
        <v>108</v>
      </c>
      <c r="N2" s="532"/>
      <c r="O2" s="110"/>
    </row>
    <row r="3" spans="1:15" ht="28" x14ac:dyDescent="0.35">
      <c r="A3" s="111" t="s">
        <v>20</v>
      </c>
      <c r="B3" s="125" t="s">
        <v>235</v>
      </c>
      <c r="C3" s="125" t="s">
        <v>236</v>
      </c>
      <c r="D3" s="125" t="s">
        <v>2</v>
      </c>
      <c r="E3" s="112" t="s">
        <v>11</v>
      </c>
      <c r="F3" s="113" t="s">
        <v>122</v>
      </c>
      <c r="G3" s="113" t="s">
        <v>211</v>
      </c>
      <c r="H3" s="114" t="s">
        <v>243</v>
      </c>
      <c r="I3" s="114" t="s">
        <v>1981</v>
      </c>
      <c r="J3" s="114" t="s">
        <v>244</v>
      </c>
      <c r="K3" s="114" t="s">
        <v>245</v>
      </c>
      <c r="L3" s="114" t="s">
        <v>195</v>
      </c>
      <c r="M3" s="115" t="s">
        <v>9</v>
      </c>
      <c r="N3" s="115" t="s">
        <v>246</v>
      </c>
      <c r="O3" s="115" t="s">
        <v>156</v>
      </c>
    </row>
    <row r="4" spans="1:15" ht="25" customHeight="1" x14ac:dyDescent="0.35">
      <c r="A4" s="111">
        <v>1</v>
      </c>
      <c r="B4" s="111"/>
      <c r="C4" s="111" t="s">
        <v>242</v>
      </c>
      <c r="D4" s="111" t="s">
        <v>1253</v>
      </c>
      <c r="E4" s="112">
        <v>1996</v>
      </c>
      <c r="F4" s="112"/>
      <c r="G4" s="112"/>
      <c r="H4" s="117">
        <f>CONVERT(I4,"ft","m")</f>
        <v>48.768000000000001</v>
      </c>
      <c r="I4" s="117">
        <v>160</v>
      </c>
      <c r="J4" s="117" t="s">
        <v>1982</v>
      </c>
      <c r="K4" s="117" t="s">
        <v>159</v>
      </c>
      <c r="L4" s="117"/>
      <c r="M4" s="154">
        <v>3</v>
      </c>
      <c r="N4" s="154">
        <v>3</v>
      </c>
      <c r="O4" s="154">
        <v>3</v>
      </c>
    </row>
    <row r="5" spans="1:15" ht="25" customHeight="1" x14ac:dyDescent="0.35">
      <c r="A5" s="111">
        <v>2</v>
      </c>
      <c r="B5" s="111"/>
      <c r="C5" s="111" t="s">
        <v>242</v>
      </c>
      <c r="D5" s="111" t="s">
        <v>1983</v>
      </c>
      <c r="E5" s="112">
        <v>1996</v>
      </c>
      <c r="F5" s="112"/>
      <c r="G5" s="112"/>
      <c r="H5" s="117">
        <f t="shared" ref="H5:H15" si="0">CONVERT(I5,"ft","m")</f>
        <v>36.576000000000001</v>
      </c>
      <c r="I5" s="117">
        <v>120</v>
      </c>
      <c r="J5" s="117" t="s">
        <v>1982</v>
      </c>
      <c r="K5" s="117" t="s">
        <v>159</v>
      </c>
      <c r="L5" s="117"/>
      <c r="M5" s="154">
        <v>4</v>
      </c>
      <c r="N5" s="154">
        <v>4</v>
      </c>
      <c r="O5" s="154">
        <v>4</v>
      </c>
    </row>
    <row r="6" spans="1:15" ht="25" customHeight="1" x14ac:dyDescent="0.35">
      <c r="A6" s="111">
        <v>3</v>
      </c>
      <c r="B6" s="111"/>
      <c r="C6" s="111" t="s">
        <v>242</v>
      </c>
      <c r="D6" s="111" t="s">
        <v>1984</v>
      </c>
      <c r="E6" s="112"/>
      <c r="F6" s="112"/>
      <c r="G6" s="112"/>
      <c r="H6" s="117">
        <f t="shared" si="0"/>
        <v>18.288</v>
      </c>
      <c r="I6" s="117">
        <v>60</v>
      </c>
      <c r="J6" s="117" t="s">
        <v>1982</v>
      </c>
      <c r="K6" s="117" t="s">
        <v>159</v>
      </c>
      <c r="L6" s="117"/>
      <c r="M6" s="154">
        <v>3</v>
      </c>
      <c r="N6" s="154">
        <v>1</v>
      </c>
      <c r="O6" s="154">
        <v>1</v>
      </c>
    </row>
    <row r="7" spans="1:15" ht="25" customHeight="1" x14ac:dyDescent="0.35">
      <c r="A7" s="111">
        <v>4</v>
      </c>
      <c r="B7" s="111"/>
      <c r="C7" s="111" t="s">
        <v>242</v>
      </c>
      <c r="D7" s="111" t="s">
        <v>1985</v>
      </c>
      <c r="E7" s="112">
        <v>2019</v>
      </c>
      <c r="F7" s="112"/>
      <c r="G7" s="112"/>
      <c r="H7" s="117">
        <f t="shared" si="0"/>
        <v>36.576000000000001</v>
      </c>
      <c r="I7" s="117">
        <v>120</v>
      </c>
      <c r="J7" s="117" t="s">
        <v>1982</v>
      </c>
      <c r="K7" s="117" t="s">
        <v>159</v>
      </c>
      <c r="L7" s="117"/>
      <c r="M7" s="154">
        <v>5</v>
      </c>
      <c r="N7" s="154">
        <v>4</v>
      </c>
      <c r="O7" s="154">
        <v>4</v>
      </c>
    </row>
    <row r="8" spans="1:15" ht="25" customHeight="1" x14ac:dyDescent="0.35">
      <c r="A8" s="111">
        <v>5</v>
      </c>
      <c r="B8" s="111"/>
      <c r="C8" s="111" t="s">
        <v>242</v>
      </c>
      <c r="D8" s="111" t="s">
        <v>1986</v>
      </c>
      <c r="E8" s="112">
        <v>2019</v>
      </c>
      <c r="F8" s="112"/>
      <c r="G8" s="112"/>
      <c r="H8" s="117">
        <f t="shared" si="0"/>
        <v>36.576000000000001</v>
      </c>
      <c r="I8" s="117">
        <v>120</v>
      </c>
      <c r="J8" s="117" t="s">
        <v>1982</v>
      </c>
      <c r="K8" s="117" t="s">
        <v>159</v>
      </c>
      <c r="L8" s="117"/>
      <c r="M8" s="154">
        <v>3</v>
      </c>
      <c r="N8" s="154">
        <v>3</v>
      </c>
      <c r="O8" s="154">
        <v>3</v>
      </c>
    </row>
    <row r="9" spans="1:15" ht="25" customHeight="1" x14ac:dyDescent="0.35">
      <c r="A9" s="111">
        <v>6</v>
      </c>
      <c r="B9" s="111"/>
      <c r="C9" s="111" t="s">
        <v>242</v>
      </c>
      <c r="D9" s="111" t="s">
        <v>1987</v>
      </c>
      <c r="E9" s="112">
        <v>2018</v>
      </c>
      <c r="F9" s="112"/>
      <c r="G9" s="112"/>
      <c r="H9" s="117">
        <f t="shared" si="0"/>
        <v>18.288</v>
      </c>
      <c r="I9" s="117">
        <v>60</v>
      </c>
      <c r="J9" s="117" t="s">
        <v>1982</v>
      </c>
      <c r="K9" s="117" t="s">
        <v>159</v>
      </c>
      <c r="L9" s="117"/>
      <c r="M9" s="154">
        <v>4</v>
      </c>
      <c r="N9" s="154">
        <v>4</v>
      </c>
      <c r="O9" s="154">
        <v>4</v>
      </c>
    </row>
    <row r="10" spans="1:15" ht="25" customHeight="1" x14ac:dyDescent="0.35">
      <c r="A10" s="111">
        <v>8</v>
      </c>
      <c r="B10" s="111"/>
      <c r="C10" s="111" t="s">
        <v>242</v>
      </c>
      <c r="D10" s="111" t="s">
        <v>1988</v>
      </c>
      <c r="E10" s="112">
        <v>1996</v>
      </c>
      <c r="F10" s="112"/>
      <c r="G10" s="112"/>
      <c r="H10" s="117">
        <f t="shared" si="0"/>
        <v>24.384</v>
      </c>
      <c r="I10" s="117">
        <v>80</v>
      </c>
      <c r="J10" s="117" t="s">
        <v>1982</v>
      </c>
      <c r="K10" s="117" t="s">
        <v>159</v>
      </c>
      <c r="L10" s="117"/>
      <c r="M10" s="154">
        <v>4</v>
      </c>
      <c r="N10" s="154">
        <v>4</v>
      </c>
      <c r="O10" s="154">
        <v>4</v>
      </c>
    </row>
    <row r="11" spans="1:15" ht="25" customHeight="1" x14ac:dyDescent="0.35">
      <c r="A11" s="111">
        <v>9</v>
      </c>
      <c r="B11" s="111"/>
      <c r="C11" s="111" t="s">
        <v>242</v>
      </c>
      <c r="D11" s="111" t="s">
        <v>1989</v>
      </c>
      <c r="E11" s="112">
        <v>1996</v>
      </c>
      <c r="F11" s="112"/>
      <c r="G11" s="112"/>
      <c r="H11" s="117">
        <f t="shared" si="0"/>
        <v>18.288</v>
      </c>
      <c r="I11" s="117">
        <v>60</v>
      </c>
      <c r="J11" s="117" t="s">
        <v>1982</v>
      </c>
      <c r="K11" s="117" t="s">
        <v>159</v>
      </c>
      <c r="L11" s="117"/>
      <c r="M11" s="154">
        <v>4</v>
      </c>
      <c r="N11" s="154">
        <v>4</v>
      </c>
      <c r="O11" s="154">
        <v>4</v>
      </c>
    </row>
    <row r="12" spans="1:15" ht="25" customHeight="1" x14ac:dyDescent="0.35">
      <c r="A12" s="111">
        <v>10</v>
      </c>
      <c r="B12" s="111"/>
      <c r="C12" s="111" t="s">
        <v>242</v>
      </c>
      <c r="D12" s="111" t="s">
        <v>1990</v>
      </c>
      <c r="E12" s="112">
        <v>1996</v>
      </c>
      <c r="F12" s="112"/>
      <c r="G12" s="112"/>
      <c r="H12" s="117">
        <f t="shared" si="0"/>
        <v>18.288</v>
      </c>
      <c r="I12" s="117">
        <v>60</v>
      </c>
      <c r="J12" s="117" t="s">
        <v>1982</v>
      </c>
      <c r="K12" s="117" t="s">
        <v>159</v>
      </c>
      <c r="L12" s="117"/>
      <c r="M12" s="154">
        <v>4</v>
      </c>
      <c r="N12" s="154">
        <v>4</v>
      </c>
      <c r="O12" s="154">
        <v>4</v>
      </c>
    </row>
    <row r="13" spans="1:15" ht="25" customHeight="1" x14ac:dyDescent="0.35">
      <c r="A13" s="111">
        <v>11</v>
      </c>
      <c r="B13" s="111"/>
      <c r="C13" s="111" t="s">
        <v>242</v>
      </c>
      <c r="D13" s="111" t="s">
        <v>1991</v>
      </c>
      <c r="E13" s="112">
        <v>1996</v>
      </c>
      <c r="F13" s="112"/>
      <c r="G13" s="112"/>
      <c r="H13" s="117">
        <f t="shared" si="0"/>
        <v>24.384</v>
      </c>
      <c r="I13" s="117">
        <v>80</v>
      </c>
      <c r="J13" s="117" t="s">
        <v>1982</v>
      </c>
      <c r="K13" s="117" t="s">
        <v>159</v>
      </c>
      <c r="L13" s="117"/>
      <c r="M13" s="154">
        <v>4</v>
      </c>
      <c r="N13" s="154">
        <v>4</v>
      </c>
      <c r="O13" s="154">
        <v>4</v>
      </c>
    </row>
    <row r="14" spans="1:15" ht="25" customHeight="1" x14ac:dyDescent="0.35">
      <c r="A14" s="111">
        <v>12</v>
      </c>
      <c r="B14" s="111"/>
      <c r="C14" s="111" t="s">
        <v>242</v>
      </c>
      <c r="D14" s="111" t="s">
        <v>1173</v>
      </c>
      <c r="E14" s="112">
        <v>1996</v>
      </c>
      <c r="F14" s="112"/>
      <c r="G14" s="112"/>
      <c r="H14" s="117">
        <f t="shared" si="0"/>
        <v>60.96</v>
      </c>
      <c r="I14" s="117">
        <v>200</v>
      </c>
      <c r="J14" s="117" t="s">
        <v>1982</v>
      </c>
      <c r="K14" s="117" t="s">
        <v>159</v>
      </c>
      <c r="L14" s="117"/>
      <c r="M14" s="154">
        <v>4</v>
      </c>
      <c r="N14" s="154">
        <v>4</v>
      </c>
      <c r="O14" s="154">
        <v>4</v>
      </c>
    </row>
    <row r="15" spans="1:15" ht="25" customHeight="1" x14ac:dyDescent="0.35">
      <c r="A15" s="111">
        <v>13</v>
      </c>
      <c r="B15" s="111"/>
      <c r="C15" s="111" t="s">
        <v>242</v>
      </c>
      <c r="D15" s="111" t="s">
        <v>1177</v>
      </c>
      <c r="E15" s="112">
        <v>1996</v>
      </c>
      <c r="F15" s="112"/>
      <c r="G15" s="112"/>
      <c r="H15" s="117">
        <f t="shared" si="0"/>
        <v>60.96</v>
      </c>
      <c r="I15" s="117">
        <v>200</v>
      </c>
      <c r="J15" s="117" t="s">
        <v>1982</v>
      </c>
      <c r="K15" s="117" t="s">
        <v>159</v>
      </c>
      <c r="L15" s="117"/>
      <c r="M15" s="154">
        <v>4</v>
      </c>
      <c r="N15" s="154">
        <v>4</v>
      </c>
      <c r="O15" s="154">
        <v>4</v>
      </c>
    </row>
    <row r="16" spans="1:15" ht="25" customHeight="1" x14ac:dyDescent="0.35">
      <c r="A16" s="111"/>
      <c r="B16" s="111"/>
      <c r="C16" s="111"/>
      <c r="D16" s="111"/>
      <c r="E16" s="112"/>
      <c r="F16" s="112"/>
      <c r="G16" s="112"/>
      <c r="H16" s="117"/>
      <c r="I16" s="117"/>
      <c r="J16" s="117"/>
      <c r="K16" s="117"/>
      <c r="L16" s="117"/>
      <c r="M16" s="154"/>
      <c r="N16" s="154"/>
      <c r="O16" s="154"/>
    </row>
    <row r="17" spans="1:15" ht="25" customHeight="1" x14ac:dyDescent="0.35">
      <c r="A17" s="111"/>
      <c r="B17" s="111"/>
      <c r="C17" s="111"/>
      <c r="D17" s="111"/>
      <c r="E17" s="112"/>
      <c r="F17" s="112"/>
      <c r="G17" s="112"/>
      <c r="H17" s="117"/>
      <c r="I17" s="117"/>
      <c r="J17" s="117"/>
      <c r="K17" s="117"/>
      <c r="L17" s="117"/>
      <c r="M17" s="154"/>
      <c r="N17" s="154"/>
      <c r="O17" s="154"/>
    </row>
    <row r="18" spans="1:15" ht="25" customHeight="1" x14ac:dyDescent="0.35">
      <c r="A18" s="111"/>
      <c r="B18" s="111"/>
      <c r="C18" s="111"/>
      <c r="D18" s="111"/>
      <c r="E18" s="112"/>
      <c r="F18" s="112"/>
      <c r="G18" s="112"/>
      <c r="H18" s="117"/>
      <c r="I18" s="117"/>
      <c r="J18" s="117"/>
      <c r="K18" s="117"/>
      <c r="L18" s="117"/>
      <c r="M18" s="154"/>
      <c r="N18" s="154"/>
      <c r="O18" s="154"/>
    </row>
    <row r="19" spans="1:15" ht="25" customHeight="1" x14ac:dyDescent="0.35">
      <c r="A19" s="111"/>
      <c r="B19" s="111"/>
      <c r="C19" s="111"/>
      <c r="D19" s="111"/>
      <c r="E19" s="112"/>
      <c r="F19" s="112"/>
      <c r="G19" s="112"/>
      <c r="H19" s="117"/>
      <c r="I19" s="117"/>
      <c r="J19" s="117"/>
      <c r="K19" s="117"/>
      <c r="L19" s="117"/>
      <c r="M19" s="154"/>
      <c r="N19" s="154"/>
      <c r="O19" s="154"/>
    </row>
    <row r="20" spans="1:15" ht="25" customHeight="1" x14ac:dyDescent="0.35">
      <c r="A20" s="111"/>
      <c r="B20" s="111"/>
      <c r="C20" s="111"/>
      <c r="D20" s="111"/>
      <c r="E20" s="112"/>
      <c r="F20" s="112"/>
      <c r="G20" s="112"/>
      <c r="H20" s="117"/>
      <c r="I20" s="117"/>
      <c r="J20" s="117"/>
      <c r="K20" s="117"/>
      <c r="L20" s="117"/>
      <c r="M20" s="154"/>
      <c r="N20" s="154"/>
      <c r="O20" s="154"/>
    </row>
    <row r="21" spans="1:15" ht="25" customHeight="1" x14ac:dyDescent="0.35">
      <c r="A21" s="111"/>
      <c r="B21" s="111"/>
      <c r="C21" s="111"/>
      <c r="D21" s="111"/>
      <c r="E21" s="112"/>
      <c r="F21" s="112"/>
      <c r="G21" s="112"/>
      <c r="H21" s="117"/>
      <c r="I21" s="117"/>
      <c r="J21" s="117"/>
      <c r="K21" s="117"/>
      <c r="L21" s="117"/>
      <c r="M21" s="154"/>
      <c r="N21" s="154"/>
      <c r="O21" s="154"/>
    </row>
    <row r="22" spans="1:15" ht="25" customHeight="1" x14ac:dyDescent="0.35">
      <c r="A22" s="111"/>
      <c r="B22" s="111"/>
      <c r="C22" s="111"/>
      <c r="D22" s="111"/>
      <c r="E22" s="112"/>
      <c r="F22" s="112"/>
      <c r="G22" s="112"/>
      <c r="H22" s="117"/>
      <c r="I22" s="117"/>
      <c r="J22" s="117"/>
      <c r="K22" s="117"/>
      <c r="L22" s="117"/>
      <c r="M22" s="154"/>
      <c r="N22" s="154"/>
      <c r="O22" s="154"/>
    </row>
    <row r="23" spans="1:15" ht="25" customHeight="1" x14ac:dyDescent="0.35">
      <c r="A23" s="111"/>
      <c r="B23" s="111"/>
      <c r="C23" s="111"/>
      <c r="D23" s="111"/>
      <c r="E23" s="112"/>
      <c r="F23" s="112"/>
      <c r="G23" s="112"/>
      <c r="H23" s="117"/>
      <c r="I23" s="117"/>
      <c r="J23" s="117"/>
      <c r="K23" s="117"/>
      <c r="L23" s="117"/>
      <c r="M23" s="154"/>
      <c r="N23" s="154"/>
      <c r="O23" s="154"/>
    </row>
    <row r="24" spans="1:15" ht="25" customHeight="1" x14ac:dyDescent="0.35">
      <c r="A24" s="111"/>
      <c r="B24" s="111"/>
      <c r="C24" s="111"/>
      <c r="D24" s="111"/>
      <c r="E24" s="112"/>
      <c r="F24" s="112"/>
      <c r="G24" s="112"/>
      <c r="H24" s="117"/>
      <c r="I24" s="117"/>
      <c r="J24" s="117"/>
      <c r="K24" s="117"/>
      <c r="L24" s="117"/>
      <c r="M24" s="154"/>
      <c r="N24" s="154"/>
      <c r="O24" s="154"/>
    </row>
    <row r="25" spans="1:15" ht="25" customHeight="1" x14ac:dyDescent="0.35">
      <c r="A25" s="111"/>
      <c r="B25" s="111"/>
      <c r="C25" s="111"/>
      <c r="D25" s="111"/>
      <c r="E25" s="112"/>
      <c r="F25" s="112"/>
      <c r="G25" s="112"/>
      <c r="H25" s="117"/>
      <c r="I25" s="117"/>
      <c r="J25" s="117"/>
      <c r="K25" s="117"/>
      <c r="L25" s="117"/>
      <c r="M25" s="154"/>
      <c r="N25" s="154"/>
      <c r="O25" s="154"/>
    </row>
    <row r="26" spans="1:15" ht="25" customHeight="1" x14ac:dyDescent="0.35">
      <c r="A26" s="111"/>
      <c r="B26" s="111"/>
      <c r="C26" s="111"/>
      <c r="D26" s="111"/>
      <c r="E26" s="112"/>
      <c r="F26" s="112"/>
      <c r="G26" s="112"/>
      <c r="H26" s="117"/>
      <c r="I26" s="117"/>
      <c r="J26" s="117"/>
      <c r="K26" s="117"/>
      <c r="L26" s="117"/>
      <c r="M26" s="154"/>
      <c r="N26" s="154"/>
      <c r="O26" s="154"/>
    </row>
    <row r="27" spans="1:15" ht="25" customHeight="1" x14ac:dyDescent="0.35">
      <c r="A27" s="111"/>
      <c r="B27" s="111"/>
      <c r="C27" s="111"/>
      <c r="D27" s="111"/>
      <c r="E27" s="112"/>
      <c r="F27" s="112"/>
      <c r="G27" s="112"/>
      <c r="H27" s="117"/>
      <c r="I27" s="117"/>
      <c r="J27" s="117"/>
      <c r="K27" s="117"/>
      <c r="L27" s="117"/>
      <c r="M27" s="154"/>
      <c r="N27" s="154"/>
      <c r="O27" s="154"/>
    </row>
    <row r="28" spans="1:15" ht="25" customHeight="1" x14ac:dyDescent="0.35">
      <c r="A28" s="111"/>
      <c r="B28" s="111"/>
      <c r="C28" s="111"/>
      <c r="D28" s="111"/>
      <c r="E28" s="112"/>
      <c r="F28" s="112"/>
      <c r="G28" s="112"/>
      <c r="H28" s="117"/>
      <c r="I28" s="117"/>
      <c r="J28" s="117"/>
      <c r="K28" s="117"/>
      <c r="L28" s="117"/>
      <c r="M28" s="154"/>
      <c r="N28" s="154"/>
      <c r="O28" s="154"/>
    </row>
    <row r="29" spans="1:15" ht="25" customHeight="1" x14ac:dyDescent="0.35">
      <c r="A29" s="111"/>
      <c r="B29" s="111"/>
      <c r="C29" s="111"/>
      <c r="D29" s="111"/>
      <c r="E29" s="112"/>
      <c r="F29" s="112"/>
      <c r="G29" s="112"/>
      <c r="H29" s="117"/>
      <c r="I29" s="117"/>
      <c r="J29" s="117"/>
      <c r="K29" s="117"/>
      <c r="L29" s="117"/>
      <c r="M29" s="154"/>
      <c r="N29" s="154"/>
      <c r="O29" s="154"/>
    </row>
    <row r="30" spans="1:15" ht="25" customHeight="1" x14ac:dyDescent="0.35">
      <c r="A30" s="111"/>
      <c r="B30" s="111"/>
      <c r="C30" s="111"/>
      <c r="D30" s="111"/>
      <c r="E30" s="112"/>
      <c r="F30" s="112"/>
      <c r="G30" s="112"/>
      <c r="H30" s="117"/>
      <c r="I30" s="117"/>
      <c r="J30" s="117"/>
      <c r="K30" s="117"/>
      <c r="L30" s="117"/>
      <c r="M30" s="154"/>
      <c r="N30" s="154"/>
      <c r="O30" s="154"/>
    </row>
    <row r="31" spans="1:15" ht="25" customHeight="1" x14ac:dyDescent="0.35">
      <c r="A31" s="111"/>
      <c r="B31" s="111"/>
      <c r="C31" s="111"/>
      <c r="D31" s="111"/>
      <c r="E31" s="112"/>
      <c r="F31" s="112"/>
      <c r="G31" s="112"/>
      <c r="H31" s="117"/>
      <c r="I31" s="117"/>
      <c r="J31" s="117"/>
      <c r="K31" s="117"/>
      <c r="L31" s="117"/>
      <c r="M31" s="154"/>
      <c r="N31" s="154"/>
      <c r="O31" s="154"/>
    </row>
    <row r="32" spans="1:15" ht="25" customHeight="1" x14ac:dyDescent="0.35">
      <c r="A32" s="111"/>
      <c r="B32" s="111"/>
      <c r="C32" s="111"/>
      <c r="D32" s="111"/>
      <c r="E32" s="112"/>
      <c r="F32" s="112"/>
      <c r="G32" s="112"/>
      <c r="H32" s="117"/>
      <c r="I32" s="117"/>
      <c r="J32" s="117"/>
      <c r="K32" s="117"/>
      <c r="L32" s="117"/>
      <c r="M32" s="154"/>
      <c r="N32" s="154"/>
      <c r="O32" s="154"/>
    </row>
    <row r="33" spans="1:15" ht="25" customHeight="1" x14ac:dyDescent="0.35">
      <c r="A33" s="111"/>
      <c r="B33" s="111"/>
      <c r="C33" s="111"/>
      <c r="D33" s="111"/>
      <c r="E33" s="112"/>
      <c r="F33" s="112"/>
      <c r="G33" s="112"/>
      <c r="H33" s="117"/>
      <c r="I33" s="117"/>
      <c r="J33" s="117"/>
      <c r="K33" s="117"/>
      <c r="L33" s="117"/>
      <c r="M33" s="154"/>
      <c r="N33" s="154"/>
      <c r="O33" s="154"/>
    </row>
    <row r="34" spans="1:15" ht="25" customHeight="1" x14ac:dyDescent="0.35">
      <c r="A34" s="111"/>
      <c r="B34" s="111"/>
      <c r="C34" s="111"/>
      <c r="D34" s="111"/>
      <c r="E34" s="112"/>
      <c r="F34" s="112"/>
      <c r="G34" s="112"/>
      <c r="H34" s="117"/>
      <c r="I34" s="117"/>
      <c r="J34" s="117"/>
      <c r="K34" s="117"/>
      <c r="L34" s="117"/>
      <c r="M34" s="154"/>
      <c r="N34" s="154"/>
      <c r="O34" s="154"/>
    </row>
    <row r="35" spans="1:15" ht="25" customHeight="1" x14ac:dyDescent="0.35">
      <c r="A35" s="111"/>
      <c r="B35" s="111"/>
      <c r="C35" s="111"/>
      <c r="D35" s="111"/>
      <c r="E35" s="112"/>
      <c r="F35" s="112"/>
      <c r="G35" s="112"/>
      <c r="H35" s="117"/>
      <c r="I35" s="117"/>
      <c r="J35" s="117"/>
      <c r="K35" s="117"/>
      <c r="L35" s="117"/>
      <c r="M35" s="154"/>
      <c r="N35" s="154"/>
      <c r="O35" s="154"/>
    </row>
    <row r="36" spans="1:15" ht="25" customHeight="1" x14ac:dyDescent="0.35">
      <c r="A36" s="111"/>
      <c r="B36" s="111"/>
      <c r="C36" s="111"/>
      <c r="D36" s="111"/>
      <c r="E36" s="112"/>
      <c r="F36" s="112"/>
      <c r="G36" s="112"/>
      <c r="H36" s="117"/>
      <c r="I36" s="117"/>
      <c r="J36" s="117"/>
      <c r="K36" s="117"/>
      <c r="L36" s="117"/>
      <c r="M36" s="154"/>
      <c r="N36" s="154"/>
      <c r="O36" s="154"/>
    </row>
    <row r="37" spans="1:15" ht="25" customHeight="1" x14ac:dyDescent="0.35">
      <c r="A37" s="111"/>
      <c r="B37" s="111"/>
      <c r="C37" s="111"/>
      <c r="D37" s="111"/>
      <c r="E37" s="112"/>
      <c r="F37" s="112"/>
      <c r="G37" s="112"/>
      <c r="H37" s="117"/>
      <c r="I37" s="117"/>
      <c r="J37" s="117"/>
      <c r="K37" s="117"/>
      <c r="L37" s="117"/>
      <c r="M37" s="154"/>
      <c r="N37" s="154"/>
      <c r="O37" s="154"/>
    </row>
    <row r="38" spans="1:15" ht="25" customHeight="1" x14ac:dyDescent="0.35">
      <c r="A38" s="111"/>
      <c r="B38" s="111"/>
      <c r="C38" s="111"/>
      <c r="D38" s="111"/>
      <c r="E38" s="112"/>
      <c r="F38" s="112"/>
      <c r="G38" s="112"/>
      <c r="H38" s="117"/>
      <c r="I38" s="117"/>
      <c r="J38" s="117"/>
      <c r="K38" s="117"/>
      <c r="L38" s="117"/>
      <c r="M38" s="119"/>
      <c r="N38" s="119"/>
      <c r="O38" s="119"/>
    </row>
    <row r="39" spans="1:15" ht="25" customHeight="1" x14ac:dyDescent="0.35">
      <c r="A39" s="111"/>
      <c r="B39" s="111"/>
      <c r="C39" s="111"/>
      <c r="D39" s="111"/>
      <c r="E39" s="112"/>
      <c r="F39" s="112"/>
      <c r="G39" s="112"/>
      <c r="H39" s="117"/>
      <c r="I39" s="117"/>
      <c r="J39" s="117"/>
      <c r="K39" s="117"/>
      <c r="L39" s="117"/>
      <c r="M39" s="119"/>
      <c r="N39" s="119"/>
      <c r="O39" s="119"/>
    </row>
    <row r="40" spans="1:15" ht="25" customHeight="1" x14ac:dyDescent="0.35">
      <c r="A40" s="111"/>
      <c r="B40" s="111"/>
      <c r="C40" s="111"/>
      <c r="D40" s="111"/>
      <c r="E40" s="112"/>
      <c r="F40" s="112"/>
      <c r="G40" s="112"/>
      <c r="H40" s="117"/>
      <c r="I40" s="117"/>
      <c r="J40" s="117"/>
      <c r="K40" s="117"/>
      <c r="L40" s="117"/>
      <c r="M40" s="119"/>
      <c r="N40" s="119"/>
      <c r="O40" s="119"/>
    </row>
    <row r="41" spans="1:15" ht="25" customHeight="1" x14ac:dyDescent="0.35">
      <c r="A41" s="111"/>
      <c r="B41" s="111"/>
      <c r="C41" s="111"/>
      <c r="D41" s="111"/>
      <c r="E41" s="112"/>
      <c r="F41" s="112"/>
      <c r="G41" s="112"/>
      <c r="H41" s="117"/>
      <c r="I41" s="117"/>
      <c r="J41" s="117"/>
      <c r="K41" s="117"/>
      <c r="L41" s="117"/>
      <c r="M41" s="119"/>
      <c r="N41" s="119"/>
      <c r="O41" s="119"/>
    </row>
    <row r="42" spans="1:15" ht="25" customHeight="1" x14ac:dyDescent="0.35">
      <c r="A42" s="111"/>
      <c r="B42" s="111"/>
      <c r="C42" s="111"/>
      <c r="D42" s="111"/>
      <c r="E42" s="112"/>
      <c r="F42" s="112"/>
      <c r="G42" s="112"/>
      <c r="H42" s="117"/>
      <c r="I42" s="117"/>
      <c r="J42" s="117"/>
      <c r="K42" s="117"/>
      <c r="L42" s="117"/>
      <c r="M42" s="119"/>
      <c r="N42" s="119"/>
      <c r="O42" s="119"/>
    </row>
    <row r="43" spans="1:15" ht="25" customHeight="1" x14ac:dyDescent="0.35">
      <c r="A43" s="111"/>
      <c r="B43" s="111"/>
      <c r="C43" s="111"/>
      <c r="D43" s="111"/>
      <c r="E43" s="112"/>
      <c r="F43" s="112"/>
      <c r="G43" s="112"/>
      <c r="H43" s="117"/>
      <c r="I43" s="117"/>
      <c r="J43" s="117"/>
      <c r="K43" s="117"/>
      <c r="L43" s="117"/>
      <c r="M43" s="119"/>
      <c r="N43" s="119"/>
      <c r="O43" s="119"/>
    </row>
    <row r="44" spans="1:15" ht="25" customHeight="1" x14ac:dyDescent="0.35">
      <c r="A44" s="111"/>
      <c r="B44" s="111"/>
      <c r="C44" s="111"/>
      <c r="D44" s="111"/>
      <c r="E44" s="112"/>
      <c r="F44" s="112"/>
      <c r="G44" s="112"/>
      <c r="H44" s="117"/>
      <c r="I44" s="117"/>
      <c r="J44" s="117"/>
      <c r="K44" s="117"/>
      <c r="L44" s="117"/>
      <c r="M44" s="119"/>
      <c r="N44" s="119"/>
      <c r="O44" s="119"/>
    </row>
    <row r="45" spans="1:15" ht="25" customHeight="1" x14ac:dyDescent="0.35">
      <c r="A45" s="111"/>
      <c r="B45" s="111"/>
      <c r="C45" s="111"/>
      <c r="D45" s="111"/>
      <c r="E45" s="112"/>
      <c r="F45" s="112"/>
      <c r="G45" s="112"/>
      <c r="H45" s="117"/>
      <c r="I45" s="117"/>
      <c r="J45" s="117"/>
      <c r="K45" s="117"/>
      <c r="L45" s="117"/>
      <c r="M45" s="119"/>
      <c r="N45" s="119"/>
      <c r="O45" s="119"/>
    </row>
    <row r="46" spans="1:15" ht="25" customHeight="1" x14ac:dyDescent="0.35">
      <c r="A46" s="111"/>
      <c r="B46" s="111"/>
      <c r="C46" s="111"/>
      <c r="D46" s="111"/>
      <c r="E46" s="112"/>
      <c r="F46" s="112"/>
      <c r="G46" s="112"/>
      <c r="H46" s="117"/>
      <c r="I46" s="117"/>
      <c r="J46" s="117"/>
      <c r="K46" s="117"/>
      <c r="L46" s="117"/>
      <c r="M46" s="119"/>
      <c r="N46" s="119"/>
      <c r="O46" s="119"/>
    </row>
    <row r="47" spans="1:15" ht="25" customHeight="1" x14ac:dyDescent="0.35">
      <c r="A47" s="111"/>
      <c r="B47" s="111"/>
      <c r="C47" s="111"/>
      <c r="D47" s="111"/>
      <c r="E47" s="112"/>
      <c r="F47" s="112"/>
      <c r="G47" s="112"/>
      <c r="H47" s="117"/>
      <c r="I47" s="117"/>
      <c r="J47" s="117"/>
      <c r="K47" s="117"/>
      <c r="L47" s="117"/>
      <c r="M47" s="119"/>
      <c r="N47" s="119"/>
      <c r="O47" s="119"/>
    </row>
    <row r="48" spans="1:15" ht="25" customHeight="1" x14ac:dyDescent="0.35">
      <c r="A48" s="111"/>
      <c r="B48" s="111"/>
      <c r="C48" s="111"/>
      <c r="D48" s="111"/>
      <c r="E48" s="112"/>
      <c r="F48" s="112"/>
      <c r="G48" s="112"/>
      <c r="H48" s="117"/>
      <c r="I48" s="117"/>
      <c r="J48" s="117"/>
      <c r="K48" s="117"/>
      <c r="L48" s="117"/>
      <c r="M48" s="119"/>
      <c r="N48" s="119"/>
      <c r="O48" s="119"/>
    </row>
    <row r="49" spans="1:15" ht="25" customHeight="1" x14ac:dyDescent="0.35">
      <c r="A49" s="111"/>
      <c r="B49" s="111"/>
      <c r="C49" s="111"/>
      <c r="D49" s="111"/>
      <c r="E49" s="112"/>
      <c r="F49" s="112"/>
      <c r="G49" s="112"/>
      <c r="H49" s="117"/>
      <c r="I49" s="117"/>
      <c r="J49" s="117"/>
      <c r="K49" s="117"/>
      <c r="L49" s="117"/>
      <c r="M49" s="119"/>
      <c r="N49" s="119"/>
      <c r="O49" s="119"/>
    </row>
    <row r="50" spans="1:15" ht="25" customHeight="1" x14ac:dyDescent="0.35">
      <c r="A50" s="111"/>
      <c r="B50" s="111"/>
      <c r="C50" s="111"/>
      <c r="D50" s="111"/>
      <c r="E50" s="112"/>
      <c r="F50" s="112"/>
      <c r="G50" s="112"/>
      <c r="H50" s="117"/>
      <c r="I50" s="117"/>
      <c r="J50" s="117"/>
      <c r="K50" s="117"/>
      <c r="L50" s="117"/>
      <c r="M50" s="119"/>
      <c r="N50" s="119"/>
      <c r="O50" s="119"/>
    </row>
    <row r="51" spans="1:15" ht="25" customHeight="1" x14ac:dyDescent="0.35">
      <c r="A51" s="111"/>
      <c r="B51" s="111"/>
      <c r="C51" s="111"/>
      <c r="D51" s="111"/>
      <c r="E51" s="112"/>
      <c r="F51" s="112"/>
      <c r="G51" s="112"/>
      <c r="H51" s="117"/>
      <c r="I51" s="117"/>
      <c r="J51" s="117"/>
      <c r="K51" s="117"/>
      <c r="L51" s="117"/>
      <c r="M51" s="119"/>
      <c r="N51" s="119"/>
      <c r="O51" s="119"/>
    </row>
    <row r="52" spans="1:15" ht="25" customHeight="1" x14ac:dyDescent="0.35">
      <c r="A52" s="111"/>
      <c r="B52" s="111"/>
      <c r="C52" s="111"/>
      <c r="D52" s="111"/>
      <c r="E52" s="112"/>
      <c r="F52" s="112"/>
      <c r="G52" s="112"/>
      <c r="H52" s="117"/>
      <c r="I52" s="117"/>
      <c r="J52" s="117"/>
      <c r="K52" s="117"/>
      <c r="L52" s="117"/>
      <c r="M52" s="119"/>
      <c r="N52" s="119"/>
      <c r="O52" s="119"/>
    </row>
    <row r="53" spans="1:15" ht="25" customHeight="1" x14ac:dyDescent="0.35">
      <c r="A53" s="111"/>
      <c r="B53" s="111"/>
      <c r="C53" s="111"/>
      <c r="D53" s="111"/>
      <c r="E53" s="112"/>
      <c r="F53" s="112"/>
      <c r="G53" s="112"/>
      <c r="H53" s="117"/>
      <c r="I53" s="117"/>
      <c r="J53" s="117"/>
      <c r="K53" s="117"/>
      <c r="L53" s="117"/>
      <c r="M53" s="119"/>
      <c r="N53" s="119"/>
      <c r="O53" s="119"/>
    </row>
    <row r="54" spans="1:15" ht="25" customHeight="1" x14ac:dyDescent="0.35">
      <c r="A54" s="111"/>
      <c r="B54" s="111"/>
      <c r="C54" s="111"/>
      <c r="D54" s="111"/>
      <c r="E54" s="112"/>
      <c r="F54" s="112"/>
      <c r="G54" s="112"/>
      <c r="H54" s="117"/>
      <c r="I54" s="117"/>
      <c r="J54" s="117"/>
      <c r="K54" s="117"/>
      <c r="L54" s="117"/>
      <c r="M54" s="119"/>
      <c r="N54" s="119"/>
      <c r="O54" s="119"/>
    </row>
    <row r="55" spans="1:15" ht="25" customHeight="1" x14ac:dyDescent="0.35">
      <c r="A55" s="111"/>
      <c r="B55" s="111"/>
      <c r="C55" s="111"/>
      <c r="D55" s="111"/>
      <c r="E55" s="112"/>
      <c r="F55" s="112"/>
      <c r="G55" s="112"/>
      <c r="H55" s="117"/>
      <c r="I55" s="117"/>
      <c r="J55" s="117"/>
      <c r="K55" s="117"/>
      <c r="L55" s="117"/>
      <c r="M55" s="119"/>
      <c r="N55" s="119"/>
      <c r="O55" s="119"/>
    </row>
    <row r="56" spans="1:15" ht="25" customHeight="1" x14ac:dyDescent="0.35">
      <c r="A56" s="111"/>
      <c r="B56" s="111"/>
      <c r="C56" s="111"/>
      <c r="D56" s="111"/>
      <c r="E56" s="112"/>
      <c r="F56" s="112"/>
      <c r="G56" s="112"/>
      <c r="H56" s="117"/>
      <c r="I56" s="117"/>
      <c r="J56" s="117"/>
      <c r="K56" s="117"/>
      <c r="L56" s="117"/>
      <c r="M56" s="119"/>
      <c r="N56" s="119"/>
      <c r="O56" s="119"/>
    </row>
    <row r="57" spans="1:15" ht="25" customHeight="1" x14ac:dyDescent="0.35">
      <c r="A57" s="111"/>
      <c r="B57" s="111"/>
      <c r="C57" s="111"/>
      <c r="D57" s="111"/>
      <c r="E57" s="112"/>
      <c r="F57" s="112"/>
      <c r="G57" s="112"/>
      <c r="H57" s="117"/>
      <c r="I57" s="117"/>
      <c r="J57" s="117"/>
      <c r="K57" s="117"/>
      <c r="L57" s="117"/>
      <c r="M57" s="119"/>
      <c r="N57" s="119"/>
      <c r="O57" s="119"/>
    </row>
    <row r="58" spans="1:15" ht="25" customHeight="1" x14ac:dyDescent="0.35">
      <c r="A58" s="111"/>
      <c r="B58" s="111"/>
      <c r="C58" s="111"/>
      <c r="D58" s="111"/>
      <c r="E58" s="112"/>
      <c r="F58" s="112"/>
      <c r="G58" s="112"/>
      <c r="H58" s="117"/>
      <c r="I58" s="117"/>
      <c r="J58" s="117"/>
      <c r="K58" s="117"/>
      <c r="L58" s="117"/>
      <c r="M58" s="119"/>
      <c r="N58" s="119"/>
      <c r="O58" s="119"/>
    </row>
    <row r="59" spans="1:15" ht="25" customHeight="1" x14ac:dyDescent="0.35">
      <c r="A59" s="111"/>
      <c r="B59" s="111"/>
      <c r="C59" s="111"/>
      <c r="D59" s="111"/>
      <c r="E59" s="112"/>
      <c r="F59" s="112"/>
      <c r="G59" s="112"/>
      <c r="H59" s="117"/>
      <c r="I59" s="117"/>
      <c r="J59" s="117"/>
      <c r="K59" s="117"/>
      <c r="L59" s="117"/>
      <c r="M59" s="119"/>
      <c r="N59" s="119"/>
      <c r="O59" s="119"/>
    </row>
    <row r="60" spans="1:15" ht="25" customHeight="1" x14ac:dyDescent="0.35">
      <c r="A60" s="111"/>
      <c r="B60" s="111"/>
      <c r="C60" s="111"/>
      <c r="D60" s="111"/>
      <c r="E60" s="112"/>
      <c r="F60" s="112"/>
      <c r="G60" s="112"/>
      <c r="H60" s="117"/>
      <c r="I60" s="117"/>
      <c r="J60" s="117"/>
      <c r="K60" s="117"/>
      <c r="L60" s="117"/>
      <c r="M60" s="119"/>
      <c r="N60" s="119"/>
      <c r="O60" s="119"/>
    </row>
    <row r="61" spans="1:15" ht="25" customHeight="1" x14ac:dyDescent="0.35">
      <c r="A61" s="111"/>
      <c r="B61" s="111"/>
      <c r="C61" s="111"/>
      <c r="D61" s="111"/>
      <c r="E61" s="112"/>
      <c r="F61" s="112"/>
      <c r="G61" s="112"/>
      <c r="H61" s="117"/>
      <c r="I61" s="117"/>
      <c r="J61" s="117"/>
      <c r="K61" s="117"/>
      <c r="L61" s="117"/>
      <c r="M61" s="119"/>
      <c r="N61" s="119"/>
      <c r="O61" s="119"/>
    </row>
    <row r="62" spans="1:15" ht="25" customHeight="1" x14ac:dyDescent="0.35">
      <c r="A62" s="111"/>
      <c r="B62" s="111"/>
      <c r="C62" s="111"/>
      <c r="D62" s="111"/>
      <c r="E62" s="112"/>
      <c r="F62" s="112"/>
      <c r="G62" s="112"/>
      <c r="H62" s="117"/>
      <c r="I62" s="117"/>
      <c r="J62" s="117"/>
      <c r="K62" s="117"/>
      <c r="L62" s="117"/>
      <c r="M62" s="119"/>
      <c r="N62" s="119"/>
      <c r="O62" s="119"/>
    </row>
    <row r="63" spans="1:15" ht="25" customHeight="1" x14ac:dyDescent="0.35">
      <c r="A63" s="111"/>
      <c r="B63" s="111"/>
      <c r="C63" s="111"/>
      <c r="D63" s="111"/>
      <c r="E63" s="112"/>
      <c r="F63" s="112"/>
      <c r="G63" s="112"/>
      <c r="H63" s="117"/>
      <c r="I63" s="117"/>
      <c r="J63" s="117"/>
      <c r="K63" s="117"/>
      <c r="L63" s="117"/>
      <c r="M63" s="119"/>
      <c r="N63" s="119"/>
      <c r="O63" s="119"/>
    </row>
    <row r="64" spans="1:15" ht="25" customHeight="1" x14ac:dyDescent="0.35">
      <c r="A64" s="111"/>
      <c r="B64" s="111"/>
      <c r="C64" s="111"/>
      <c r="D64" s="111"/>
      <c r="E64" s="112"/>
      <c r="F64" s="112"/>
      <c r="G64" s="112"/>
      <c r="H64" s="117"/>
      <c r="I64" s="117"/>
      <c r="J64" s="117"/>
      <c r="K64" s="117"/>
      <c r="L64" s="117"/>
      <c r="M64" s="119"/>
      <c r="N64" s="119"/>
      <c r="O64" s="119"/>
    </row>
    <row r="65" spans="1:15" ht="25" customHeight="1" x14ac:dyDescent="0.35">
      <c r="A65" s="111"/>
      <c r="B65" s="111"/>
      <c r="C65" s="111"/>
      <c r="D65" s="111"/>
      <c r="E65" s="112"/>
      <c r="F65" s="112"/>
      <c r="G65" s="112"/>
      <c r="H65" s="117"/>
      <c r="I65" s="117"/>
      <c r="J65" s="117"/>
      <c r="K65" s="117"/>
      <c r="L65" s="117"/>
      <c r="M65" s="119"/>
      <c r="N65" s="119"/>
      <c r="O65" s="119"/>
    </row>
    <row r="66" spans="1:15" ht="25" customHeight="1" x14ac:dyDescent="0.35">
      <c r="A66" s="111"/>
      <c r="B66" s="111"/>
      <c r="C66" s="111"/>
      <c r="D66" s="111"/>
      <c r="E66" s="112"/>
      <c r="F66" s="112"/>
      <c r="G66" s="112"/>
      <c r="H66" s="117"/>
      <c r="I66" s="117"/>
      <c r="J66" s="117"/>
      <c r="K66" s="117"/>
      <c r="L66" s="117"/>
      <c r="M66" s="119"/>
      <c r="N66" s="119"/>
      <c r="O66" s="119"/>
    </row>
    <row r="67" spans="1:15" ht="25" customHeight="1" x14ac:dyDescent="0.35">
      <c r="A67" s="111"/>
      <c r="B67" s="111"/>
      <c r="C67" s="111"/>
      <c r="D67" s="111"/>
      <c r="E67" s="112"/>
      <c r="F67" s="112"/>
      <c r="G67" s="112"/>
      <c r="H67" s="117"/>
      <c r="I67" s="117"/>
      <c r="J67" s="117"/>
      <c r="K67" s="117"/>
      <c r="L67" s="117"/>
      <c r="M67" s="119"/>
      <c r="N67" s="119"/>
      <c r="O67" s="119"/>
    </row>
    <row r="68" spans="1:15" ht="25" customHeight="1" x14ac:dyDescent="0.35">
      <c r="A68" s="111"/>
      <c r="B68" s="111"/>
      <c r="C68" s="111"/>
      <c r="D68" s="111"/>
      <c r="E68" s="112"/>
      <c r="F68" s="112"/>
      <c r="G68" s="112"/>
      <c r="H68" s="117"/>
      <c r="I68" s="117"/>
      <c r="J68" s="117"/>
      <c r="K68" s="117"/>
      <c r="L68" s="117"/>
      <c r="M68" s="119"/>
      <c r="N68" s="119"/>
      <c r="O68" s="119"/>
    </row>
    <row r="69" spans="1:15" ht="25" customHeight="1" x14ac:dyDescent="0.35">
      <c r="A69" s="111"/>
      <c r="B69" s="111"/>
      <c r="C69" s="111"/>
      <c r="D69" s="111"/>
      <c r="E69" s="112"/>
      <c r="F69" s="112"/>
      <c r="G69" s="112"/>
      <c r="H69" s="117"/>
      <c r="I69" s="117"/>
      <c r="J69" s="117"/>
      <c r="K69" s="117"/>
      <c r="L69" s="117"/>
      <c r="M69" s="119"/>
      <c r="N69" s="119"/>
      <c r="O69" s="119"/>
    </row>
    <row r="70" spans="1:15" ht="25" customHeight="1" x14ac:dyDescent="0.35">
      <c r="A70" s="111"/>
      <c r="B70" s="111"/>
      <c r="C70" s="111"/>
      <c r="D70" s="111"/>
      <c r="E70" s="112"/>
      <c r="F70" s="112"/>
      <c r="G70" s="112"/>
      <c r="H70" s="117"/>
      <c r="I70" s="117"/>
      <c r="J70" s="117"/>
      <c r="K70" s="117"/>
      <c r="L70" s="117"/>
      <c r="M70" s="119"/>
      <c r="N70" s="119"/>
      <c r="O70" s="119"/>
    </row>
    <row r="71" spans="1:15" ht="25" customHeight="1" x14ac:dyDescent="0.35">
      <c r="A71" s="111"/>
      <c r="B71" s="111"/>
      <c r="C71" s="111"/>
      <c r="D71" s="111"/>
      <c r="E71" s="112"/>
      <c r="F71" s="112"/>
      <c r="G71" s="112"/>
      <c r="H71" s="117"/>
      <c r="I71" s="117"/>
      <c r="J71" s="117"/>
      <c r="K71" s="117"/>
      <c r="L71" s="117"/>
      <c r="M71" s="119"/>
      <c r="N71" s="119"/>
      <c r="O71" s="119"/>
    </row>
    <row r="72" spans="1:15" ht="25" customHeight="1" x14ac:dyDescent="0.35">
      <c r="A72" s="111"/>
      <c r="B72" s="111"/>
      <c r="C72" s="111"/>
      <c r="D72" s="111"/>
      <c r="E72" s="112"/>
      <c r="F72" s="112"/>
      <c r="G72" s="112"/>
      <c r="H72" s="117"/>
      <c r="I72" s="117"/>
      <c r="J72" s="117"/>
      <c r="K72" s="117"/>
      <c r="L72" s="117"/>
      <c r="M72" s="119"/>
      <c r="N72" s="119"/>
      <c r="O72" s="119"/>
    </row>
    <row r="73" spans="1:15" ht="25" customHeight="1" x14ac:dyDescent="0.35">
      <c r="A73" s="111"/>
      <c r="B73" s="111"/>
      <c r="C73" s="111"/>
      <c r="D73" s="111"/>
      <c r="E73" s="112"/>
      <c r="F73" s="112"/>
      <c r="G73" s="112"/>
      <c r="H73" s="117"/>
      <c r="I73" s="117"/>
      <c r="J73" s="117"/>
      <c r="K73" s="117"/>
      <c r="L73" s="117"/>
      <c r="M73" s="119"/>
      <c r="N73" s="119"/>
      <c r="O73" s="119"/>
    </row>
    <row r="74" spans="1:15" ht="25" customHeight="1" x14ac:dyDescent="0.35">
      <c r="A74" s="111"/>
      <c r="B74" s="111"/>
      <c r="C74" s="111"/>
      <c r="D74" s="111"/>
      <c r="E74" s="112"/>
      <c r="F74" s="112"/>
      <c r="G74" s="112"/>
      <c r="H74" s="117"/>
      <c r="I74" s="117"/>
      <c r="J74" s="117"/>
      <c r="K74" s="117"/>
      <c r="L74" s="117"/>
      <c r="M74" s="119"/>
      <c r="N74" s="119"/>
      <c r="O74" s="119"/>
    </row>
    <row r="75" spans="1:15" ht="25" customHeight="1" x14ac:dyDescent="0.35">
      <c r="A75" s="111"/>
      <c r="B75" s="111"/>
      <c r="C75" s="111"/>
      <c r="D75" s="111"/>
      <c r="E75" s="112"/>
      <c r="F75" s="112"/>
      <c r="G75" s="112"/>
      <c r="H75" s="117"/>
      <c r="I75" s="117"/>
      <c r="J75" s="117"/>
      <c r="K75" s="117"/>
      <c r="L75" s="117"/>
      <c r="M75" s="119"/>
      <c r="N75" s="119"/>
      <c r="O75" s="119"/>
    </row>
    <row r="76" spans="1:15" ht="25" customHeight="1" x14ac:dyDescent="0.35">
      <c r="A76" s="111"/>
      <c r="B76" s="111"/>
      <c r="C76" s="111"/>
      <c r="D76" s="111"/>
      <c r="E76" s="112"/>
      <c r="F76" s="112"/>
      <c r="G76" s="112"/>
      <c r="H76" s="117"/>
      <c r="I76" s="117"/>
      <c r="J76" s="117"/>
      <c r="K76" s="117"/>
      <c r="L76" s="117"/>
      <c r="M76" s="119"/>
      <c r="N76" s="119"/>
      <c r="O76" s="119"/>
    </row>
    <row r="77" spans="1:15" ht="25" customHeight="1" x14ac:dyDescent="0.35">
      <c r="A77" s="111"/>
      <c r="B77" s="111"/>
      <c r="C77" s="111"/>
      <c r="D77" s="111"/>
      <c r="E77" s="112"/>
      <c r="F77" s="112"/>
      <c r="G77" s="112"/>
      <c r="H77" s="117"/>
      <c r="I77" s="117"/>
      <c r="J77" s="117"/>
      <c r="K77" s="117"/>
      <c r="L77" s="117"/>
      <c r="M77" s="119"/>
      <c r="N77" s="119"/>
      <c r="O77" s="119"/>
    </row>
    <row r="78" spans="1:15" ht="25" customHeight="1" x14ac:dyDescent="0.35">
      <c r="A78" s="111"/>
      <c r="B78" s="111"/>
      <c r="C78" s="111"/>
      <c r="D78" s="111"/>
      <c r="E78" s="112"/>
      <c r="F78" s="112"/>
      <c r="G78" s="112"/>
      <c r="H78" s="117"/>
      <c r="I78" s="117"/>
      <c r="J78" s="117"/>
      <c r="K78" s="117"/>
      <c r="L78" s="117"/>
      <c r="M78" s="119"/>
      <c r="N78" s="119"/>
      <c r="O78" s="119"/>
    </row>
    <row r="79" spans="1:15" ht="25" customHeight="1" x14ac:dyDescent="0.35">
      <c r="A79" s="111"/>
      <c r="B79" s="111"/>
      <c r="C79" s="111"/>
      <c r="D79" s="111"/>
      <c r="E79" s="112"/>
      <c r="F79" s="112"/>
      <c r="G79" s="112"/>
      <c r="H79" s="117"/>
      <c r="I79" s="117"/>
      <c r="J79" s="117"/>
      <c r="K79" s="117"/>
      <c r="L79" s="117"/>
      <c r="M79" s="119"/>
      <c r="N79" s="119"/>
      <c r="O79" s="119"/>
    </row>
    <row r="80" spans="1:15" ht="25" customHeight="1" x14ac:dyDescent="0.35">
      <c r="A80" s="111"/>
      <c r="B80" s="111"/>
      <c r="C80" s="111"/>
      <c r="D80" s="111"/>
      <c r="E80" s="112"/>
      <c r="F80" s="112"/>
      <c r="G80" s="112"/>
      <c r="H80" s="117"/>
      <c r="I80" s="117"/>
      <c r="J80" s="117"/>
      <c r="K80" s="117"/>
      <c r="L80" s="117"/>
      <c r="M80" s="119"/>
      <c r="N80" s="119"/>
      <c r="O80" s="119"/>
    </row>
    <row r="81" spans="1:15" ht="25" customHeight="1" x14ac:dyDescent="0.35">
      <c r="A81" s="111"/>
      <c r="B81" s="111"/>
      <c r="C81" s="111"/>
      <c r="D81" s="111"/>
      <c r="E81" s="112"/>
      <c r="F81" s="112"/>
      <c r="G81" s="112"/>
      <c r="H81" s="117"/>
      <c r="I81" s="117"/>
      <c r="J81" s="117"/>
      <c r="K81" s="117"/>
      <c r="L81" s="117"/>
      <c r="M81" s="119"/>
      <c r="N81" s="119"/>
      <c r="O81" s="119"/>
    </row>
    <row r="82" spans="1:15" ht="25" customHeight="1" x14ac:dyDescent="0.35">
      <c r="A82" s="111"/>
      <c r="B82" s="111"/>
      <c r="C82" s="111"/>
      <c r="D82" s="111"/>
      <c r="E82" s="112"/>
      <c r="F82" s="112"/>
      <c r="G82" s="112"/>
      <c r="H82" s="117"/>
      <c r="I82" s="117"/>
      <c r="J82" s="117"/>
      <c r="K82" s="117"/>
      <c r="L82" s="117"/>
      <c r="M82" s="119"/>
      <c r="N82" s="119"/>
      <c r="O82" s="119"/>
    </row>
    <row r="83" spans="1:15" ht="25" customHeight="1" x14ac:dyDescent="0.35">
      <c r="A83" s="111"/>
      <c r="B83" s="111"/>
      <c r="C83" s="111"/>
      <c r="D83" s="111"/>
      <c r="E83" s="112"/>
      <c r="F83" s="112"/>
      <c r="G83" s="112"/>
      <c r="H83" s="117"/>
      <c r="I83" s="117"/>
      <c r="J83" s="117"/>
      <c r="K83" s="117"/>
      <c r="L83" s="117"/>
      <c r="M83" s="119"/>
      <c r="N83" s="119"/>
      <c r="O83" s="119"/>
    </row>
    <row r="84" spans="1:15" ht="25" customHeight="1" x14ac:dyDescent="0.35">
      <c r="A84" s="111"/>
      <c r="B84" s="111"/>
      <c r="C84" s="111"/>
      <c r="D84" s="111"/>
      <c r="E84" s="112"/>
      <c r="F84" s="112"/>
      <c r="G84" s="112"/>
      <c r="H84" s="117"/>
      <c r="I84" s="117"/>
      <c r="J84" s="117"/>
      <c r="K84" s="117"/>
      <c r="L84" s="117"/>
      <c r="M84" s="119"/>
      <c r="N84" s="119"/>
      <c r="O84" s="119"/>
    </row>
    <row r="85" spans="1:15" ht="25" customHeight="1" x14ac:dyDescent="0.35">
      <c r="A85" s="111"/>
      <c r="B85" s="111"/>
      <c r="C85" s="111"/>
      <c r="D85" s="111"/>
      <c r="E85" s="112"/>
      <c r="F85" s="112"/>
      <c r="G85" s="112"/>
      <c r="H85" s="117"/>
      <c r="I85" s="117"/>
      <c r="J85" s="117"/>
      <c r="K85" s="117"/>
      <c r="L85" s="117"/>
      <c r="M85" s="119"/>
      <c r="N85" s="119"/>
      <c r="O85" s="119"/>
    </row>
    <row r="86" spans="1:15" ht="25" customHeight="1" x14ac:dyDescent="0.35">
      <c r="A86" s="111"/>
      <c r="B86" s="111"/>
      <c r="C86" s="111"/>
      <c r="D86" s="111"/>
      <c r="E86" s="112"/>
      <c r="F86" s="112"/>
      <c r="G86" s="112"/>
      <c r="H86" s="117"/>
      <c r="I86" s="117"/>
      <c r="J86" s="117"/>
      <c r="K86" s="117"/>
      <c r="L86" s="117"/>
      <c r="M86" s="119"/>
      <c r="N86" s="119"/>
      <c r="O86" s="119"/>
    </row>
    <row r="87" spans="1:15" ht="25" customHeight="1" x14ac:dyDescent="0.35">
      <c r="A87" s="111"/>
      <c r="B87" s="111"/>
      <c r="C87" s="111"/>
      <c r="D87" s="111"/>
      <c r="E87" s="112"/>
      <c r="F87" s="112"/>
      <c r="G87" s="112"/>
      <c r="H87" s="117"/>
      <c r="I87" s="117"/>
      <c r="J87" s="117"/>
      <c r="K87" s="117"/>
      <c r="L87" s="117"/>
      <c r="M87" s="119"/>
      <c r="N87" s="119"/>
      <c r="O87" s="119"/>
    </row>
    <row r="88" spans="1:15" ht="25" customHeight="1" x14ac:dyDescent="0.35">
      <c r="A88" s="111"/>
      <c r="B88" s="111"/>
      <c r="C88" s="111"/>
      <c r="D88" s="111"/>
      <c r="E88" s="112"/>
      <c r="F88" s="112"/>
      <c r="G88" s="112"/>
      <c r="H88" s="117"/>
      <c r="I88" s="117"/>
      <c r="J88" s="117"/>
      <c r="K88" s="117"/>
      <c r="L88" s="117"/>
      <c r="M88" s="119"/>
      <c r="N88" s="119"/>
      <c r="O88" s="119"/>
    </row>
    <row r="89" spans="1:15" ht="25" customHeight="1" x14ac:dyDescent="0.35">
      <c r="A89" s="111"/>
      <c r="B89" s="111"/>
      <c r="C89" s="111"/>
      <c r="D89" s="111"/>
      <c r="E89" s="112"/>
      <c r="F89" s="112"/>
      <c r="G89" s="112"/>
      <c r="H89" s="117"/>
      <c r="I89" s="117"/>
      <c r="J89" s="117"/>
      <c r="K89" s="117"/>
      <c r="L89" s="117"/>
      <c r="M89" s="119"/>
      <c r="N89" s="119"/>
      <c r="O89" s="119"/>
    </row>
    <row r="90" spans="1:15" ht="25" customHeight="1" x14ac:dyDescent="0.35">
      <c r="A90" s="111"/>
      <c r="B90" s="111"/>
      <c r="C90" s="111"/>
      <c r="D90" s="111"/>
      <c r="E90" s="112"/>
      <c r="F90" s="112"/>
      <c r="G90" s="112"/>
      <c r="H90" s="117"/>
      <c r="I90" s="117"/>
      <c r="J90" s="117"/>
      <c r="K90" s="117"/>
      <c r="L90" s="117"/>
      <c r="M90" s="119"/>
      <c r="N90" s="119"/>
      <c r="O90" s="119"/>
    </row>
    <row r="91" spans="1:15" ht="25" customHeight="1" x14ac:dyDescent="0.35">
      <c r="A91" s="111"/>
      <c r="B91" s="111"/>
      <c r="C91" s="111"/>
      <c r="D91" s="111"/>
      <c r="E91" s="112"/>
      <c r="F91" s="112"/>
      <c r="G91" s="112"/>
      <c r="H91" s="117"/>
      <c r="I91" s="117"/>
      <c r="J91" s="117"/>
      <c r="K91" s="117"/>
      <c r="L91" s="117"/>
      <c r="M91" s="119"/>
      <c r="N91" s="119"/>
      <c r="O91" s="119"/>
    </row>
    <row r="92" spans="1:15" ht="25" customHeight="1" x14ac:dyDescent="0.35">
      <c r="A92" s="111"/>
      <c r="B92" s="111"/>
      <c r="C92" s="111"/>
      <c r="D92" s="111"/>
      <c r="E92" s="112"/>
      <c r="F92" s="112"/>
      <c r="G92" s="112"/>
      <c r="H92" s="117"/>
      <c r="I92" s="117"/>
      <c r="J92" s="117"/>
      <c r="K92" s="117"/>
      <c r="L92" s="117"/>
      <c r="M92" s="119"/>
      <c r="N92" s="119"/>
      <c r="O92" s="119"/>
    </row>
    <row r="93" spans="1:15" ht="25" customHeight="1" x14ac:dyDescent="0.35">
      <c r="A93" s="111"/>
      <c r="B93" s="111"/>
      <c r="C93" s="111"/>
      <c r="D93" s="111"/>
      <c r="E93" s="112"/>
      <c r="F93" s="112"/>
      <c r="G93" s="112"/>
      <c r="H93" s="117"/>
      <c r="I93" s="117"/>
      <c r="J93" s="117"/>
      <c r="K93" s="117"/>
      <c r="L93" s="117"/>
      <c r="M93" s="119"/>
      <c r="N93" s="119"/>
      <c r="O93" s="119"/>
    </row>
    <row r="94" spans="1:15" ht="25" customHeight="1" x14ac:dyDescent="0.35">
      <c r="A94" s="111"/>
      <c r="B94" s="111"/>
      <c r="C94" s="111"/>
      <c r="D94" s="111"/>
      <c r="E94" s="112"/>
      <c r="F94" s="112"/>
      <c r="G94" s="112"/>
      <c r="H94" s="117"/>
      <c r="I94" s="117"/>
      <c r="J94" s="117"/>
      <c r="K94" s="117"/>
      <c r="L94" s="117"/>
      <c r="M94" s="119"/>
      <c r="N94" s="119"/>
      <c r="O94" s="119"/>
    </row>
    <row r="95" spans="1:15" ht="25" customHeight="1" x14ac:dyDescent="0.35">
      <c r="A95" s="111"/>
      <c r="B95" s="111"/>
      <c r="C95" s="111"/>
      <c r="D95" s="111"/>
      <c r="E95" s="112"/>
      <c r="F95" s="112"/>
      <c r="G95" s="112"/>
      <c r="H95" s="117"/>
      <c r="I95" s="117"/>
      <c r="J95" s="117"/>
      <c r="K95" s="117"/>
      <c r="L95" s="117"/>
      <c r="M95" s="119"/>
      <c r="N95" s="119"/>
      <c r="O95" s="119"/>
    </row>
    <row r="96" spans="1:15" ht="25" customHeight="1" x14ac:dyDescent="0.35">
      <c r="A96" s="111"/>
      <c r="B96" s="111"/>
      <c r="C96" s="111"/>
      <c r="D96" s="111"/>
      <c r="E96" s="112"/>
      <c r="F96" s="112"/>
      <c r="G96" s="112"/>
      <c r="H96" s="117"/>
      <c r="I96" s="117"/>
      <c r="J96" s="117"/>
      <c r="K96" s="117"/>
      <c r="L96" s="117"/>
      <c r="M96" s="119"/>
      <c r="N96" s="119"/>
      <c r="O96" s="119"/>
    </row>
    <row r="97" spans="1:15" ht="25" customHeight="1" x14ac:dyDescent="0.35">
      <c r="A97" s="111"/>
      <c r="B97" s="111"/>
      <c r="C97" s="111"/>
      <c r="D97" s="111"/>
      <c r="E97" s="112"/>
      <c r="F97" s="112"/>
      <c r="G97" s="112"/>
      <c r="H97" s="117"/>
      <c r="I97" s="117"/>
      <c r="J97" s="117"/>
      <c r="K97" s="117"/>
      <c r="L97" s="117"/>
      <c r="M97" s="119"/>
      <c r="N97" s="119"/>
      <c r="O97" s="119"/>
    </row>
    <row r="98" spans="1:15" ht="25" customHeight="1" x14ac:dyDescent="0.35">
      <c r="A98" s="111"/>
      <c r="B98" s="111"/>
      <c r="C98" s="111"/>
      <c r="D98" s="111"/>
      <c r="E98" s="112"/>
      <c r="F98" s="112"/>
      <c r="G98" s="112"/>
      <c r="H98" s="117"/>
      <c r="I98" s="117"/>
      <c r="J98" s="117"/>
      <c r="K98" s="117"/>
      <c r="L98" s="117"/>
      <c r="M98" s="119"/>
      <c r="N98" s="119"/>
      <c r="O98" s="119"/>
    </row>
    <row r="99" spans="1:15" ht="25" customHeight="1" x14ac:dyDescent="0.35">
      <c r="A99" s="111"/>
      <c r="B99" s="111"/>
      <c r="C99" s="111"/>
      <c r="D99" s="111"/>
      <c r="E99" s="112"/>
      <c r="F99" s="112"/>
      <c r="G99" s="112"/>
      <c r="H99" s="117"/>
      <c r="I99" s="117"/>
      <c r="J99" s="117"/>
      <c r="K99" s="117"/>
      <c r="L99" s="117"/>
      <c r="M99" s="119"/>
      <c r="N99" s="119"/>
      <c r="O99" s="119"/>
    </row>
    <row r="100" spans="1:15" ht="25" customHeight="1" x14ac:dyDescent="0.35">
      <c r="A100" s="111"/>
      <c r="B100" s="111"/>
      <c r="C100" s="111"/>
      <c r="D100" s="111"/>
      <c r="E100" s="112"/>
      <c r="F100" s="112"/>
      <c r="G100" s="112"/>
      <c r="H100" s="117"/>
      <c r="I100" s="117"/>
      <c r="J100" s="117"/>
      <c r="K100" s="117"/>
      <c r="L100" s="117"/>
      <c r="M100" s="119"/>
      <c r="N100" s="119"/>
      <c r="O100" s="119"/>
    </row>
    <row r="101" spans="1:15" ht="25" customHeight="1" x14ac:dyDescent="0.35">
      <c r="A101" s="111"/>
      <c r="B101" s="111"/>
      <c r="C101" s="111"/>
      <c r="D101" s="111"/>
      <c r="E101" s="112"/>
      <c r="F101" s="112"/>
      <c r="G101" s="112"/>
      <c r="H101" s="117"/>
      <c r="I101" s="117"/>
      <c r="J101" s="117"/>
      <c r="K101" s="117"/>
      <c r="L101" s="117"/>
      <c r="M101" s="119"/>
      <c r="N101" s="119"/>
      <c r="O101" s="119"/>
    </row>
    <row r="102" spans="1:15" ht="25" customHeight="1" x14ac:dyDescent="0.35">
      <c r="A102" s="111"/>
      <c r="B102" s="111"/>
      <c r="C102" s="111"/>
      <c r="D102" s="111"/>
      <c r="E102" s="112"/>
      <c r="F102" s="112"/>
      <c r="G102" s="112"/>
      <c r="H102" s="117"/>
      <c r="I102" s="117"/>
      <c r="J102" s="117"/>
      <c r="K102" s="117"/>
      <c r="L102" s="117"/>
      <c r="M102" s="119"/>
      <c r="N102" s="119"/>
      <c r="O102" s="119"/>
    </row>
    <row r="103" spans="1:15" ht="25" customHeight="1" x14ac:dyDescent="0.35">
      <c r="A103" s="111"/>
      <c r="B103" s="111"/>
      <c r="C103" s="111"/>
      <c r="D103" s="111"/>
      <c r="E103" s="112"/>
      <c r="F103" s="112"/>
      <c r="G103" s="112"/>
      <c r="H103" s="117"/>
      <c r="I103" s="117"/>
      <c r="J103" s="117"/>
      <c r="K103" s="117"/>
      <c r="L103" s="117"/>
      <c r="M103" s="119"/>
      <c r="N103" s="119"/>
      <c r="O103" s="119"/>
    </row>
    <row r="104" spans="1:15" ht="25" customHeight="1" x14ac:dyDescent="0.35">
      <c r="A104" s="111"/>
      <c r="B104" s="111"/>
      <c r="C104" s="111"/>
      <c r="D104" s="111"/>
      <c r="E104" s="112"/>
      <c r="F104" s="112"/>
      <c r="G104" s="112"/>
      <c r="H104" s="117"/>
      <c r="I104" s="117"/>
      <c r="J104" s="117"/>
      <c r="K104" s="117"/>
      <c r="L104" s="117"/>
      <c r="M104" s="119"/>
      <c r="N104" s="119"/>
      <c r="O104" s="119"/>
    </row>
    <row r="105" spans="1:15" ht="25" customHeight="1" x14ac:dyDescent="0.35">
      <c r="A105" s="111"/>
      <c r="B105" s="111"/>
      <c r="C105" s="111"/>
      <c r="D105" s="111"/>
      <c r="E105" s="112"/>
      <c r="F105" s="112"/>
      <c r="G105" s="112"/>
      <c r="H105" s="117"/>
      <c r="I105" s="117"/>
      <c r="J105" s="117"/>
      <c r="K105" s="117"/>
      <c r="L105" s="117"/>
      <c r="M105" s="119"/>
      <c r="N105" s="119"/>
      <c r="O105" s="119"/>
    </row>
    <row r="106" spans="1:15" ht="25" customHeight="1" x14ac:dyDescent="0.35">
      <c r="A106" s="111"/>
      <c r="B106" s="111"/>
      <c r="C106" s="111"/>
      <c r="D106" s="111"/>
      <c r="E106" s="112"/>
      <c r="F106" s="112"/>
      <c r="G106" s="112"/>
      <c r="H106" s="117"/>
      <c r="I106" s="117"/>
      <c r="J106" s="117"/>
      <c r="K106" s="117"/>
      <c r="L106" s="117"/>
      <c r="M106" s="119"/>
      <c r="N106" s="119"/>
      <c r="O106" s="119"/>
    </row>
    <row r="107" spans="1:15" ht="25" customHeight="1" x14ac:dyDescent="0.35">
      <c r="A107" s="111"/>
      <c r="B107" s="111"/>
      <c r="C107" s="111"/>
      <c r="D107" s="111"/>
      <c r="E107" s="112"/>
      <c r="F107" s="112"/>
      <c r="G107" s="112"/>
      <c r="H107" s="117"/>
      <c r="I107" s="117"/>
      <c r="J107" s="117"/>
      <c r="K107" s="117"/>
      <c r="L107" s="117"/>
      <c r="M107" s="119"/>
      <c r="N107" s="119"/>
      <c r="O107" s="119"/>
    </row>
    <row r="108" spans="1:15" ht="25" customHeight="1" x14ac:dyDescent="0.35">
      <c r="A108" s="111"/>
      <c r="B108" s="111"/>
      <c r="C108" s="111"/>
      <c r="D108" s="111"/>
      <c r="E108" s="112"/>
      <c r="F108" s="112"/>
      <c r="G108" s="112"/>
      <c r="H108" s="117"/>
      <c r="I108" s="117"/>
      <c r="J108" s="117"/>
      <c r="K108" s="117"/>
      <c r="L108" s="117"/>
      <c r="M108" s="119"/>
      <c r="N108" s="119"/>
      <c r="O108" s="119"/>
    </row>
    <row r="109" spans="1:15" ht="25" customHeight="1" x14ac:dyDescent="0.35">
      <c r="A109" s="111"/>
      <c r="B109" s="111"/>
      <c r="C109" s="111"/>
      <c r="D109" s="111"/>
      <c r="E109" s="112"/>
      <c r="F109" s="112"/>
      <c r="G109" s="112"/>
      <c r="H109" s="117"/>
      <c r="I109" s="117"/>
      <c r="J109" s="117"/>
      <c r="K109" s="117"/>
      <c r="L109" s="117"/>
      <c r="M109" s="119"/>
      <c r="N109" s="119"/>
      <c r="O109" s="119"/>
    </row>
    <row r="110" spans="1:15" ht="25" customHeight="1" x14ac:dyDescent="0.35">
      <c r="A110" s="111"/>
      <c r="B110" s="111"/>
      <c r="C110" s="111"/>
      <c r="D110" s="111"/>
      <c r="E110" s="112"/>
      <c r="F110" s="112"/>
      <c r="G110" s="112"/>
      <c r="H110" s="117"/>
      <c r="I110" s="117"/>
      <c r="J110" s="117"/>
      <c r="K110" s="117"/>
      <c r="L110" s="117"/>
      <c r="M110" s="119"/>
      <c r="N110" s="119"/>
      <c r="O110" s="119"/>
    </row>
    <row r="111" spans="1:15" ht="25" customHeight="1" x14ac:dyDescent="0.35">
      <c r="A111" s="111"/>
      <c r="B111" s="111"/>
      <c r="C111" s="111"/>
      <c r="D111" s="111"/>
      <c r="E111" s="112"/>
      <c r="F111" s="112"/>
      <c r="G111" s="112"/>
      <c r="H111" s="117"/>
      <c r="I111" s="117"/>
      <c r="J111" s="117"/>
      <c r="K111" s="117"/>
      <c r="L111" s="117"/>
      <c r="M111" s="119"/>
      <c r="N111" s="119"/>
      <c r="O111" s="119"/>
    </row>
    <row r="112" spans="1:15" ht="25" customHeight="1" x14ac:dyDescent="0.35">
      <c r="A112" s="111"/>
      <c r="B112" s="111"/>
      <c r="C112" s="111"/>
      <c r="D112" s="111"/>
      <c r="E112" s="112"/>
      <c r="F112" s="112"/>
      <c r="G112" s="112"/>
      <c r="H112" s="117"/>
      <c r="I112" s="117"/>
      <c r="J112" s="117"/>
      <c r="K112" s="117"/>
      <c r="L112" s="117"/>
      <c r="M112" s="119"/>
      <c r="N112" s="119"/>
      <c r="O112" s="119"/>
    </row>
    <row r="113" spans="1:15" ht="25" customHeight="1" x14ac:dyDescent="0.35">
      <c r="A113" s="111"/>
      <c r="B113" s="111"/>
      <c r="C113" s="111"/>
      <c r="D113" s="111"/>
      <c r="E113" s="112"/>
      <c r="F113" s="112"/>
      <c r="G113" s="112"/>
      <c r="H113" s="117"/>
      <c r="I113" s="117"/>
      <c r="J113" s="117"/>
      <c r="K113" s="117"/>
      <c r="L113" s="117"/>
      <c r="M113" s="119"/>
      <c r="N113" s="119"/>
      <c r="O113" s="119"/>
    </row>
    <row r="114" spans="1:15" ht="25" customHeight="1" x14ac:dyDescent="0.35">
      <c r="A114" s="111"/>
      <c r="B114" s="111"/>
      <c r="C114" s="111"/>
      <c r="D114" s="111"/>
      <c r="E114" s="112"/>
      <c r="F114" s="112"/>
      <c r="G114" s="112"/>
      <c r="H114" s="117"/>
      <c r="I114" s="117"/>
      <c r="J114" s="117"/>
      <c r="K114" s="117"/>
      <c r="L114" s="117"/>
      <c r="M114" s="119"/>
      <c r="N114" s="119"/>
      <c r="O114" s="119"/>
    </row>
    <row r="115" spans="1:15" ht="25" customHeight="1" x14ac:dyDescent="0.35">
      <c r="A115" s="111"/>
      <c r="B115" s="111"/>
      <c r="C115" s="111"/>
      <c r="D115" s="111"/>
      <c r="E115" s="112"/>
      <c r="F115" s="112"/>
      <c r="G115" s="112"/>
      <c r="H115" s="117"/>
      <c r="I115" s="117"/>
      <c r="J115" s="117"/>
      <c r="K115" s="117"/>
      <c r="L115" s="117"/>
      <c r="M115" s="119"/>
      <c r="N115" s="119"/>
      <c r="O115" s="119"/>
    </row>
    <row r="116" spans="1:15" ht="25" customHeight="1" x14ac:dyDescent="0.35">
      <c r="A116" s="111"/>
      <c r="B116" s="111"/>
      <c r="C116" s="111"/>
      <c r="D116" s="111"/>
      <c r="E116" s="112"/>
      <c r="F116" s="112"/>
      <c r="G116" s="112"/>
      <c r="H116" s="117"/>
      <c r="I116" s="117"/>
      <c r="J116" s="117"/>
      <c r="K116" s="117"/>
      <c r="L116" s="117"/>
      <c r="M116" s="119"/>
      <c r="N116" s="119"/>
      <c r="O116" s="119"/>
    </row>
    <row r="117" spans="1:15" ht="25" customHeight="1" x14ac:dyDescent="0.35">
      <c r="A117" s="111"/>
      <c r="B117" s="111"/>
      <c r="C117" s="111"/>
      <c r="D117" s="111"/>
      <c r="E117" s="112"/>
      <c r="F117" s="112"/>
      <c r="G117" s="112"/>
      <c r="H117" s="117"/>
      <c r="I117" s="117"/>
      <c r="J117" s="117"/>
      <c r="K117" s="117"/>
      <c r="L117" s="117"/>
      <c r="M117" s="119"/>
      <c r="N117" s="119"/>
      <c r="O117" s="119"/>
    </row>
    <row r="118" spans="1:15" ht="25" customHeight="1" x14ac:dyDescent="0.35">
      <c r="A118" s="111"/>
      <c r="B118" s="111"/>
      <c r="C118" s="111"/>
      <c r="D118" s="111"/>
      <c r="E118" s="112"/>
      <c r="F118" s="112"/>
      <c r="G118" s="112"/>
      <c r="H118" s="117"/>
      <c r="I118" s="117"/>
      <c r="J118" s="117"/>
      <c r="K118" s="117"/>
      <c r="L118" s="117"/>
      <c r="M118" s="119"/>
      <c r="N118" s="119"/>
      <c r="O118" s="119"/>
    </row>
    <row r="119" spans="1:15" ht="25" customHeight="1" x14ac:dyDescent="0.35">
      <c r="A119" s="111"/>
      <c r="B119" s="111"/>
      <c r="C119" s="111"/>
      <c r="D119" s="111"/>
      <c r="E119" s="112"/>
      <c r="F119" s="112"/>
      <c r="G119" s="112"/>
      <c r="H119" s="117"/>
      <c r="I119" s="117"/>
      <c r="J119" s="117"/>
      <c r="K119" s="117"/>
      <c r="L119" s="117"/>
      <c r="M119" s="119"/>
      <c r="N119" s="119"/>
      <c r="O119" s="119"/>
    </row>
    <row r="120" spans="1:15" ht="25" customHeight="1" x14ac:dyDescent="0.35">
      <c r="A120" s="111"/>
      <c r="B120" s="111"/>
      <c r="C120" s="111"/>
      <c r="D120" s="111"/>
      <c r="E120" s="112"/>
      <c r="F120" s="112"/>
      <c r="G120" s="112"/>
      <c r="H120" s="117"/>
      <c r="I120" s="117"/>
      <c r="J120" s="117"/>
      <c r="K120" s="117"/>
      <c r="L120" s="117"/>
      <c r="M120" s="119"/>
      <c r="N120" s="119"/>
      <c r="O120" s="119"/>
    </row>
    <row r="121" spans="1:15" ht="25" customHeight="1" x14ac:dyDescent="0.35">
      <c r="A121" s="111"/>
      <c r="B121" s="111"/>
      <c r="C121" s="111"/>
      <c r="D121" s="111"/>
      <c r="E121" s="112"/>
      <c r="F121" s="112"/>
      <c r="G121" s="112"/>
      <c r="H121" s="117"/>
      <c r="I121" s="117"/>
      <c r="J121" s="117"/>
      <c r="K121" s="117"/>
      <c r="L121" s="117"/>
      <c r="M121" s="119"/>
      <c r="N121" s="119"/>
      <c r="O121" s="119"/>
    </row>
    <row r="122" spans="1:15" ht="25" customHeight="1" x14ac:dyDescent="0.35">
      <c r="A122" s="111"/>
      <c r="B122" s="111"/>
      <c r="C122" s="111"/>
      <c r="D122" s="111"/>
      <c r="E122" s="112"/>
      <c r="F122" s="112"/>
      <c r="G122" s="112"/>
      <c r="H122" s="117"/>
      <c r="I122" s="117"/>
      <c r="J122" s="117"/>
      <c r="K122" s="117"/>
      <c r="L122" s="117"/>
      <c r="M122" s="119"/>
      <c r="N122" s="119"/>
      <c r="O122" s="119"/>
    </row>
    <row r="123" spans="1:15" ht="25" customHeight="1" x14ac:dyDescent="0.35">
      <c r="A123" s="111"/>
      <c r="B123" s="111"/>
      <c r="C123" s="111"/>
      <c r="D123" s="111"/>
      <c r="E123" s="112"/>
      <c r="F123" s="112"/>
      <c r="G123" s="112"/>
      <c r="H123" s="117"/>
      <c r="I123" s="117"/>
      <c r="J123" s="117"/>
      <c r="K123" s="117"/>
      <c r="L123" s="117"/>
      <c r="M123" s="119"/>
      <c r="N123" s="119"/>
      <c r="O123" s="119"/>
    </row>
    <row r="124" spans="1:15" ht="25" customHeight="1" x14ac:dyDescent="0.35">
      <c r="A124" s="111"/>
      <c r="B124" s="111"/>
      <c r="C124" s="111"/>
      <c r="D124" s="111"/>
      <c r="E124" s="112"/>
      <c r="F124" s="112"/>
      <c r="G124" s="112"/>
      <c r="H124" s="117"/>
      <c r="I124" s="117"/>
      <c r="J124" s="117"/>
      <c r="K124" s="117"/>
      <c r="L124" s="117"/>
      <c r="M124" s="119"/>
      <c r="N124" s="119"/>
      <c r="O124" s="119"/>
    </row>
    <row r="125" spans="1:15" ht="25" customHeight="1" x14ac:dyDescent="0.35">
      <c r="A125" s="111"/>
      <c r="B125" s="111"/>
      <c r="C125" s="111"/>
      <c r="D125" s="111"/>
      <c r="E125" s="112"/>
      <c r="F125" s="112"/>
      <c r="G125" s="112"/>
      <c r="H125" s="117"/>
      <c r="I125" s="117"/>
      <c r="J125" s="117"/>
      <c r="K125" s="117"/>
      <c r="L125" s="117"/>
      <c r="M125" s="119"/>
      <c r="N125" s="119"/>
      <c r="O125" s="119"/>
    </row>
    <row r="126" spans="1:15" ht="25" customHeight="1" x14ac:dyDescent="0.35">
      <c r="A126" s="111"/>
      <c r="B126" s="111"/>
      <c r="C126" s="111"/>
      <c r="D126" s="111"/>
      <c r="E126" s="112"/>
      <c r="F126" s="112"/>
      <c r="G126" s="112"/>
      <c r="H126" s="117"/>
      <c r="I126" s="117"/>
      <c r="J126" s="117"/>
      <c r="K126" s="117"/>
      <c r="L126" s="117"/>
      <c r="M126" s="119"/>
      <c r="N126" s="119"/>
      <c r="O126" s="119"/>
    </row>
    <row r="127" spans="1:15" ht="25" customHeight="1" x14ac:dyDescent="0.35">
      <c r="A127" s="111"/>
      <c r="B127" s="111"/>
      <c r="C127" s="111"/>
      <c r="D127" s="111"/>
      <c r="E127" s="112"/>
      <c r="F127" s="112"/>
      <c r="G127" s="112"/>
      <c r="H127" s="117"/>
      <c r="I127" s="117"/>
      <c r="J127" s="117"/>
      <c r="K127" s="117"/>
      <c r="L127" s="117"/>
      <c r="M127" s="119"/>
      <c r="N127" s="119"/>
      <c r="O127" s="119"/>
    </row>
    <row r="128" spans="1:15" ht="25" customHeight="1" x14ac:dyDescent="0.35">
      <c r="A128" s="111"/>
      <c r="B128" s="111"/>
      <c r="C128" s="111"/>
      <c r="D128" s="111"/>
      <c r="E128" s="112"/>
      <c r="F128" s="112"/>
      <c r="G128" s="112"/>
      <c r="H128" s="117"/>
      <c r="I128" s="117"/>
      <c r="J128" s="117"/>
      <c r="K128" s="117"/>
      <c r="L128" s="117"/>
      <c r="M128" s="119"/>
      <c r="N128" s="119"/>
      <c r="O128" s="119"/>
    </row>
    <row r="129" spans="1:15" ht="25" customHeight="1" x14ac:dyDescent="0.35">
      <c r="A129" s="111"/>
      <c r="B129" s="111"/>
      <c r="C129" s="111"/>
      <c r="D129" s="111"/>
      <c r="E129" s="112"/>
      <c r="F129" s="112"/>
      <c r="G129" s="112"/>
      <c r="H129" s="117"/>
      <c r="I129" s="117"/>
      <c r="J129" s="117"/>
      <c r="K129" s="117"/>
      <c r="L129" s="117"/>
      <c r="M129" s="119"/>
      <c r="N129" s="119"/>
      <c r="O129" s="119"/>
    </row>
    <row r="130" spans="1:15" ht="25" customHeight="1" x14ac:dyDescent="0.35">
      <c r="A130" s="111"/>
      <c r="B130" s="111"/>
      <c r="C130" s="111"/>
      <c r="D130" s="111"/>
      <c r="E130" s="112"/>
      <c r="F130" s="112"/>
      <c r="G130" s="112"/>
      <c r="H130" s="117"/>
      <c r="I130" s="117"/>
      <c r="J130" s="117"/>
      <c r="K130" s="117"/>
      <c r="L130" s="117"/>
      <c r="M130" s="119"/>
      <c r="N130" s="119"/>
      <c r="O130" s="119"/>
    </row>
    <row r="131" spans="1:15" ht="25" customHeight="1" x14ac:dyDescent="0.35">
      <c r="A131" s="111"/>
      <c r="B131" s="111"/>
      <c r="C131" s="111"/>
      <c r="D131" s="111"/>
      <c r="E131" s="112"/>
      <c r="F131" s="112"/>
      <c r="G131" s="112"/>
      <c r="H131" s="117"/>
      <c r="I131" s="117"/>
      <c r="J131" s="117"/>
      <c r="K131" s="117"/>
      <c r="L131" s="117"/>
      <c r="M131" s="119"/>
      <c r="N131" s="119"/>
      <c r="O131" s="119"/>
    </row>
    <row r="132" spans="1:15" ht="25" customHeight="1" x14ac:dyDescent="0.35">
      <c r="A132" s="111"/>
      <c r="B132" s="111"/>
      <c r="C132" s="111"/>
      <c r="D132" s="111"/>
      <c r="E132" s="112"/>
      <c r="F132" s="112"/>
      <c r="G132" s="112"/>
      <c r="H132" s="117"/>
      <c r="I132" s="117"/>
      <c r="J132" s="117"/>
      <c r="K132" s="117"/>
      <c r="L132" s="117"/>
      <c r="M132" s="119"/>
      <c r="N132" s="119"/>
      <c r="O132" s="119"/>
    </row>
    <row r="133" spans="1:15" ht="25" customHeight="1" x14ac:dyDescent="0.35">
      <c r="A133" s="111"/>
      <c r="B133" s="111"/>
      <c r="C133" s="111"/>
      <c r="D133" s="111"/>
      <c r="E133" s="112"/>
      <c r="F133" s="112"/>
      <c r="G133" s="112"/>
      <c r="H133" s="117"/>
      <c r="I133" s="117"/>
      <c r="J133" s="117"/>
      <c r="K133" s="117"/>
      <c r="L133" s="117"/>
      <c r="M133" s="119"/>
      <c r="N133" s="119"/>
      <c r="O133" s="119"/>
    </row>
    <row r="134" spans="1:15" ht="25" customHeight="1" x14ac:dyDescent="0.35">
      <c r="A134" s="111"/>
      <c r="B134" s="111"/>
      <c r="C134" s="111"/>
      <c r="D134" s="111"/>
      <c r="E134" s="112"/>
      <c r="F134" s="112"/>
      <c r="G134" s="112"/>
      <c r="H134" s="117"/>
      <c r="I134" s="117"/>
      <c r="J134" s="117"/>
      <c r="K134" s="117"/>
      <c r="L134" s="117"/>
      <c r="M134" s="119"/>
      <c r="N134" s="119"/>
      <c r="O134" s="119"/>
    </row>
    <row r="135" spans="1:15" ht="25" customHeight="1" x14ac:dyDescent="0.35">
      <c r="A135" s="111"/>
      <c r="B135" s="111"/>
      <c r="C135" s="111"/>
      <c r="D135" s="111"/>
      <c r="E135" s="112"/>
      <c r="F135" s="112"/>
      <c r="G135" s="112"/>
      <c r="H135" s="117"/>
      <c r="I135" s="117"/>
      <c r="J135" s="117"/>
      <c r="K135" s="117"/>
      <c r="L135" s="117"/>
      <c r="M135" s="119"/>
      <c r="N135" s="119"/>
      <c r="O135" s="119"/>
    </row>
    <row r="136" spans="1:15" ht="25" customHeight="1" x14ac:dyDescent="0.35">
      <c r="A136" s="111"/>
      <c r="B136" s="111"/>
      <c r="C136" s="111"/>
      <c r="D136" s="111"/>
      <c r="E136" s="112"/>
      <c r="F136" s="112"/>
      <c r="G136" s="112"/>
      <c r="H136" s="117"/>
      <c r="I136" s="117"/>
      <c r="J136" s="117"/>
      <c r="K136" s="117"/>
      <c r="L136" s="117"/>
      <c r="M136" s="119"/>
      <c r="N136" s="119"/>
      <c r="O136" s="119"/>
    </row>
    <row r="137" spans="1:15" ht="25" customHeight="1" x14ac:dyDescent="0.35">
      <c r="A137" s="111"/>
      <c r="B137" s="111"/>
      <c r="C137" s="111"/>
      <c r="D137" s="111"/>
      <c r="E137" s="112"/>
      <c r="F137" s="112"/>
      <c r="G137" s="112"/>
      <c r="H137" s="117"/>
      <c r="I137" s="117"/>
      <c r="J137" s="117"/>
      <c r="K137" s="117"/>
      <c r="L137" s="117"/>
      <c r="M137" s="119"/>
      <c r="N137" s="119"/>
      <c r="O137" s="119"/>
    </row>
    <row r="138" spans="1:15" ht="25" customHeight="1" x14ac:dyDescent="0.35">
      <c r="A138" s="111"/>
      <c r="B138" s="111"/>
      <c r="C138" s="111"/>
      <c r="D138" s="111"/>
      <c r="E138" s="112"/>
      <c r="F138" s="112"/>
      <c r="G138" s="112"/>
      <c r="H138" s="117"/>
      <c r="I138" s="117"/>
      <c r="J138" s="117"/>
      <c r="K138" s="117"/>
      <c r="L138" s="117"/>
      <c r="M138" s="119"/>
      <c r="N138" s="119"/>
      <c r="O138" s="119"/>
    </row>
    <row r="139" spans="1:15" ht="25" customHeight="1" x14ac:dyDescent="0.35">
      <c r="A139" s="111"/>
      <c r="B139" s="111"/>
      <c r="C139" s="111"/>
      <c r="D139" s="111"/>
      <c r="E139" s="112"/>
      <c r="F139" s="112"/>
      <c r="G139" s="112"/>
      <c r="H139" s="117"/>
      <c r="I139" s="117"/>
      <c r="J139" s="117"/>
      <c r="K139" s="117"/>
      <c r="L139" s="117"/>
      <c r="M139" s="119"/>
      <c r="N139" s="119"/>
      <c r="O139" s="119"/>
    </row>
    <row r="140" spans="1:15" ht="25" customHeight="1" x14ac:dyDescent="0.35">
      <c r="A140" s="111"/>
      <c r="B140" s="111"/>
      <c r="C140" s="111"/>
      <c r="D140" s="111"/>
      <c r="E140" s="112"/>
      <c r="F140" s="112"/>
      <c r="G140" s="112"/>
      <c r="H140" s="117"/>
      <c r="I140" s="117"/>
      <c r="J140" s="117"/>
      <c r="K140" s="117"/>
      <c r="L140" s="117"/>
      <c r="M140" s="119"/>
      <c r="N140" s="119"/>
      <c r="O140" s="119"/>
    </row>
    <row r="141" spans="1:15" ht="25" customHeight="1" x14ac:dyDescent="0.35">
      <c r="A141" s="111"/>
      <c r="B141" s="111"/>
      <c r="C141" s="111"/>
      <c r="D141" s="111"/>
      <c r="E141" s="112"/>
      <c r="F141" s="112"/>
      <c r="G141" s="112"/>
      <c r="H141" s="117"/>
      <c r="I141" s="117"/>
      <c r="J141" s="117"/>
      <c r="K141" s="117"/>
      <c r="L141" s="117"/>
      <c r="M141" s="119"/>
      <c r="N141" s="119"/>
      <c r="O141" s="119"/>
    </row>
    <row r="142" spans="1:15" ht="25" customHeight="1" x14ac:dyDescent="0.35">
      <c r="A142" s="111"/>
      <c r="B142" s="111"/>
      <c r="C142" s="111"/>
      <c r="D142" s="111"/>
      <c r="E142" s="112"/>
      <c r="F142" s="112"/>
      <c r="G142" s="112"/>
      <c r="H142" s="117"/>
      <c r="I142" s="117"/>
      <c r="J142" s="117"/>
      <c r="K142" s="117"/>
      <c r="L142" s="117"/>
      <c r="M142" s="119"/>
      <c r="N142" s="119"/>
      <c r="O142" s="119"/>
    </row>
    <row r="143" spans="1:15" ht="25" customHeight="1" x14ac:dyDescent="0.35">
      <c r="A143" s="111"/>
      <c r="B143" s="111"/>
      <c r="C143" s="111"/>
      <c r="D143" s="111"/>
      <c r="E143" s="112"/>
      <c r="F143" s="112"/>
      <c r="G143" s="112"/>
      <c r="H143" s="117"/>
      <c r="I143" s="117"/>
      <c r="J143" s="117"/>
      <c r="K143" s="117"/>
      <c r="L143" s="117"/>
      <c r="M143" s="119"/>
      <c r="N143" s="119"/>
      <c r="O143" s="119"/>
    </row>
    <row r="144" spans="1:15" ht="25" customHeight="1" x14ac:dyDescent="0.35">
      <c r="A144" s="111"/>
      <c r="B144" s="111"/>
      <c r="C144" s="111"/>
      <c r="D144" s="111"/>
      <c r="E144" s="112"/>
      <c r="F144" s="112"/>
      <c r="G144" s="112"/>
      <c r="H144" s="117"/>
      <c r="I144" s="117"/>
      <c r="J144" s="117"/>
      <c r="K144" s="117"/>
      <c r="L144" s="117"/>
      <c r="M144" s="119"/>
      <c r="N144" s="119"/>
      <c r="O144" s="119"/>
    </row>
    <row r="145" spans="1:15" ht="25" customHeight="1" x14ac:dyDescent="0.35">
      <c r="A145" s="111"/>
      <c r="B145" s="111"/>
      <c r="C145" s="111"/>
      <c r="D145" s="111"/>
      <c r="E145" s="112"/>
      <c r="F145" s="112"/>
      <c r="G145" s="112"/>
      <c r="H145" s="117"/>
      <c r="I145" s="117"/>
      <c r="J145" s="117"/>
      <c r="K145" s="117"/>
      <c r="L145" s="117"/>
      <c r="M145" s="119"/>
      <c r="N145" s="119"/>
      <c r="O145" s="119"/>
    </row>
    <row r="146" spans="1:15" ht="25" customHeight="1" x14ac:dyDescent="0.35">
      <c r="A146" s="111"/>
      <c r="B146" s="111"/>
      <c r="C146" s="111"/>
      <c r="D146" s="111"/>
      <c r="E146" s="112"/>
      <c r="F146" s="112"/>
      <c r="G146" s="112"/>
      <c r="H146" s="117"/>
      <c r="I146" s="117"/>
      <c r="J146" s="117"/>
      <c r="K146" s="117"/>
      <c r="L146" s="117"/>
      <c r="M146" s="119"/>
      <c r="N146" s="119"/>
      <c r="O146" s="119"/>
    </row>
    <row r="147" spans="1:15" ht="25" customHeight="1" x14ac:dyDescent="0.35">
      <c r="A147" s="111"/>
      <c r="B147" s="111"/>
      <c r="C147" s="111"/>
      <c r="D147" s="111"/>
      <c r="E147" s="112"/>
      <c r="F147" s="112"/>
      <c r="G147" s="112"/>
      <c r="H147" s="117"/>
      <c r="I147" s="117"/>
      <c r="J147" s="117"/>
      <c r="K147" s="117"/>
      <c r="L147" s="117"/>
      <c r="M147" s="119"/>
      <c r="N147" s="119"/>
      <c r="O147" s="119"/>
    </row>
    <row r="148" spans="1:15" ht="25" customHeight="1" x14ac:dyDescent="0.35">
      <c r="A148" s="111"/>
      <c r="B148" s="111"/>
      <c r="C148" s="111"/>
      <c r="D148" s="111"/>
      <c r="E148" s="112"/>
      <c r="F148" s="112"/>
      <c r="G148" s="112"/>
      <c r="H148" s="117"/>
      <c r="I148" s="117"/>
      <c r="J148" s="117"/>
      <c r="K148" s="117"/>
      <c r="L148" s="117"/>
      <c r="M148" s="119"/>
      <c r="N148" s="119"/>
      <c r="O148" s="119"/>
    </row>
    <row r="149" spans="1:15" ht="25" customHeight="1" x14ac:dyDescent="0.35">
      <c r="A149" s="111"/>
      <c r="B149" s="111"/>
      <c r="C149" s="111"/>
      <c r="D149" s="111"/>
      <c r="E149" s="112"/>
      <c r="F149" s="112"/>
      <c r="G149" s="112"/>
      <c r="H149" s="117"/>
      <c r="I149" s="117"/>
      <c r="J149" s="117"/>
      <c r="K149" s="117"/>
      <c r="L149" s="117"/>
      <c r="M149" s="119"/>
      <c r="N149" s="119"/>
      <c r="O149" s="119"/>
    </row>
    <row r="150" spans="1:15" ht="25" customHeight="1" x14ac:dyDescent="0.35">
      <c r="A150" s="111"/>
      <c r="B150" s="111"/>
      <c r="C150" s="111"/>
      <c r="D150" s="111"/>
      <c r="E150" s="112"/>
      <c r="F150" s="112"/>
      <c r="G150" s="112"/>
      <c r="H150" s="117"/>
      <c r="I150" s="117"/>
      <c r="J150" s="117"/>
      <c r="K150" s="117"/>
      <c r="L150" s="117"/>
      <c r="M150" s="119"/>
      <c r="N150" s="119"/>
      <c r="O150" s="119"/>
    </row>
    <row r="151" spans="1:15" ht="25" customHeight="1" x14ac:dyDescent="0.35">
      <c r="A151" s="111"/>
      <c r="B151" s="111"/>
      <c r="C151" s="111"/>
      <c r="D151" s="111"/>
      <c r="E151" s="112"/>
      <c r="F151" s="112"/>
      <c r="G151" s="112"/>
      <c r="H151" s="117"/>
      <c r="I151" s="117"/>
      <c r="J151" s="117"/>
      <c r="K151" s="117"/>
      <c r="L151" s="117"/>
      <c r="M151" s="119"/>
      <c r="N151" s="119"/>
      <c r="O151" s="119"/>
    </row>
    <row r="152" spans="1:15" ht="25" customHeight="1" x14ac:dyDescent="0.35">
      <c r="A152" s="111"/>
      <c r="B152" s="111"/>
      <c r="C152" s="111"/>
      <c r="D152" s="111"/>
      <c r="E152" s="112"/>
      <c r="F152" s="112"/>
      <c r="G152" s="112"/>
      <c r="H152" s="117"/>
      <c r="I152" s="117"/>
      <c r="J152" s="117"/>
      <c r="K152" s="117"/>
      <c r="L152" s="117"/>
      <c r="M152" s="119"/>
      <c r="N152" s="119"/>
      <c r="O152" s="119"/>
    </row>
    <row r="153" spans="1:15" ht="25" customHeight="1" x14ac:dyDescent="0.35">
      <c r="A153" s="111"/>
      <c r="B153" s="111"/>
      <c r="C153" s="111"/>
      <c r="D153" s="111"/>
      <c r="E153" s="112"/>
      <c r="F153" s="112"/>
      <c r="G153" s="112"/>
      <c r="H153" s="117"/>
      <c r="I153" s="117"/>
      <c r="J153" s="117"/>
      <c r="K153" s="117"/>
      <c r="L153" s="117"/>
      <c r="M153" s="119"/>
      <c r="N153" s="119"/>
      <c r="O153" s="119"/>
    </row>
    <row r="154" spans="1:15" ht="25" customHeight="1" x14ac:dyDescent="0.35">
      <c r="A154" s="111"/>
      <c r="B154" s="111"/>
      <c r="C154" s="111"/>
      <c r="D154" s="111"/>
      <c r="E154" s="112"/>
      <c r="F154" s="112"/>
      <c r="G154" s="112"/>
      <c r="H154" s="117"/>
      <c r="I154" s="117"/>
      <c r="J154" s="117"/>
      <c r="K154" s="117"/>
      <c r="L154" s="117"/>
      <c r="M154" s="119"/>
      <c r="N154" s="119"/>
      <c r="O154" s="119"/>
    </row>
    <row r="155" spans="1:15" ht="25" customHeight="1" x14ac:dyDescent="0.35">
      <c r="A155" s="111"/>
      <c r="B155" s="111"/>
      <c r="C155" s="111"/>
      <c r="D155" s="111"/>
      <c r="E155" s="112"/>
      <c r="F155" s="112"/>
      <c r="G155" s="112"/>
      <c r="H155" s="117"/>
      <c r="I155" s="117"/>
      <c r="J155" s="117"/>
      <c r="K155" s="117"/>
      <c r="L155" s="117"/>
      <c r="M155" s="119"/>
      <c r="N155" s="119"/>
      <c r="O155" s="119"/>
    </row>
    <row r="156" spans="1:15" ht="25" customHeight="1" x14ac:dyDescent="0.35">
      <c r="A156" s="111"/>
      <c r="B156" s="111"/>
      <c r="C156" s="111"/>
      <c r="D156" s="111"/>
      <c r="E156" s="112"/>
      <c r="F156" s="112"/>
      <c r="G156" s="112"/>
      <c r="H156" s="117"/>
      <c r="I156" s="117"/>
      <c r="J156" s="117"/>
      <c r="K156" s="117"/>
      <c r="L156" s="117"/>
      <c r="M156" s="119"/>
      <c r="N156" s="119"/>
      <c r="O156" s="119"/>
    </row>
    <row r="157" spans="1:15" ht="25" customHeight="1" x14ac:dyDescent="0.35">
      <c r="A157" s="111"/>
      <c r="B157" s="111"/>
      <c r="C157" s="111"/>
      <c r="D157" s="111"/>
      <c r="E157" s="112"/>
      <c r="F157" s="112"/>
      <c r="G157" s="112"/>
      <c r="H157" s="117"/>
      <c r="I157" s="117"/>
      <c r="J157" s="117"/>
      <c r="K157" s="117"/>
      <c r="L157" s="117"/>
      <c r="M157" s="119"/>
      <c r="N157" s="119"/>
      <c r="O157" s="119"/>
    </row>
    <row r="158" spans="1:15" ht="25" customHeight="1" x14ac:dyDescent="0.35">
      <c r="A158" s="111"/>
      <c r="B158" s="111"/>
      <c r="C158" s="111"/>
      <c r="D158" s="111"/>
      <c r="E158" s="112"/>
      <c r="F158" s="112"/>
      <c r="G158" s="112"/>
      <c r="H158" s="117"/>
      <c r="I158" s="117"/>
      <c r="J158" s="117"/>
      <c r="K158" s="117"/>
      <c r="L158" s="117"/>
      <c r="M158" s="119"/>
      <c r="N158" s="119"/>
      <c r="O158" s="119"/>
    </row>
    <row r="159" spans="1:15" ht="25" customHeight="1" x14ac:dyDescent="0.35">
      <c r="A159" s="111"/>
      <c r="B159" s="111"/>
      <c r="C159" s="111"/>
      <c r="D159" s="111"/>
      <c r="E159" s="112"/>
      <c r="F159" s="112"/>
      <c r="G159" s="112"/>
      <c r="H159" s="117"/>
      <c r="I159" s="117"/>
      <c r="J159" s="117"/>
      <c r="K159" s="117"/>
      <c r="L159" s="117"/>
      <c r="M159" s="119"/>
      <c r="N159" s="119"/>
      <c r="O159" s="119"/>
    </row>
    <row r="160" spans="1:15" ht="25" customHeight="1" x14ac:dyDescent="0.35">
      <c r="A160" s="111"/>
      <c r="B160" s="111"/>
      <c r="C160" s="111"/>
      <c r="D160" s="111"/>
      <c r="E160" s="112"/>
      <c r="F160" s="112"/>
      <c r="G160" s="112"/>
      <c r="H160" s="117"/>
      <c r="I160" s="117"/>
      <c r="J160" s="117"/>
      <c r="K160" s="117"/>
      <c r="L160" s="117"/>
      <c r="M160" s="119"/>
      <c r="N160" s="119"/>
      <c r="O160" s="119"/>
    </row>
    <row r="161" spans="1:15" ht="25" customHeight="1" x14ac:dyDescent="0.35">
      <c r="A161" s="111"/>
      <c r="B161" s="111"/>
      <c r="C161" s="111"/>
      <c r="D161" s="111"/>
      <c r="E161" s="112"/>
      <c r="F161" s="112"/>
      <c r="G161" s="112"/>
      <c r="H161" s="117"/>
      <c r="I161" s="117"/>
      <c r="J161" s="117"/>
      <c r="K161" s="117"/>
      <c r="L161" s="117"/>
      <c r="M161" s="119"/>
      <c r="N161" s="119"/>
      <c r="O161" s="119"/>
    </row>
    <row r="162" spans="1:15" ht="25" customHeight="1" x14ac:dyDescent="0.35">
      <c r="A162" s="111"/>
      <c r="B162" s="111"/>
      <c r="C162" s="111"/>
      <c r="D162" s="111"/>
      <c r="E162" s="112"/>
      <c r="F162" s="112"/>
      <c r="G162" s="112"/>
      <c r="H162" s="117"/>
      <c r="I162" s="117"/>
      <c r="J162" s="117"/>
      <c r="K162" s="117"/>
      <c r="L162" s="117"/>
      <c r="M162" s="119"/>
      <c r="N162" s="119"/>
      <c r="O162" s="119"/>
    </row>
    <row r="163" spans="1:15" ht="25" customHeight="1" x14ac:dyDescent="0.35">
      <c r="A163" s="111"/>
      <c r="B163" s="111"/>
      <c r="C163" s="111"/>
      <c r="D163" s="111"/>
      <c r="E163" s="112"/>
      <c r="F163" s="112"/>
      <c r="G163" s="112"/>
      <c r="H163" s="117"/>
      <c r="I163" s="117"/>
      <c r="J163" s="117"/>
      <c r="K163" s="117"/>
      <c r="L163" s="117"/>
      <c r="M163" s="119"/>
      <c r="N163" s="119"/>
      <c r="O163" s="119"/>
    </row>
    <row r="164" spans="1:15" ht="25" customHeight="1" x14ac:dyDescent="0.35">
      <c r="A164" s="111"/>
      <c r="B164" s="111"/>
      <c r="C164" s="111"/>
      <c r="D164" s="111"/>
      <c r="E164" s="112"/>
      <c r="F164" s="112"/>
      <c r="G164" s="112"/>
      <c r="H164" s="117"/>
      <c r="I164" s="117"/>
      <c r="J164" s="117"/>
      <c r="K164" s="117"/>
      <c r="L164" s="117"/>
      <c r="M164" s="119"/>
      <c r="N164" s="119"/>
      <c r="O164" s="119"/>
    </row>
    <row r="165" spans="1:15" ht="25" customHeight="1" x14ac:dyDescent="0.35">
      <c r="A165" s="111"/>
      <c r="B165" s="111"/>
      <c r="C165" s="111"/>
      <c r="D165" s="111"/>
      <c r="E165" s="112"/>
      <c r="F165" s="112"/>
      <c r="G165" s="112"/>
      <c r="H165" s="117"/>
      <c r="I165" s="117"/>
      <c r="J165" s="117"/>
      <c r="K165" s="117"/>
      <c r="L165" s="117"/>
      <c r="M165" s="119"/>
      <c r="N165" s="119"/>
      <c r="O165" s="119"/>
    </row>
    <row r="166" spans="1:15" ht="25" customHeight="1" x14ac:dyDescent="0.35">
      <c r="A166" s="111"/>
      <c r="B166" s="111"/>
      <c r="C166" s="111"/>
      <c r="D166" s="111"/>
      <c r="E166" s="112"/>
      <c r="F166" s="112"/>
      <c r="G166" s="112"/>
      <c r="H166" s="117"/>
      <c r="I166" s="117"/>
      <c r="J166" s="117"/>
      <c r="K166" s="117"/>
      <c r="L166" s="117"/>
      <c r="M166" s="119"/>
      <c r="N166" s="119"/>
      <c r="O166" s="119"/>
    </row>
    <row r="167" spans="1:15" ht="25" customHeight="1" x14ac:dyDescent="0.35">
      <c r="A167" s="111"/>
      <c r="B167" s="111"/>
      <c r="C167" s="111"/>
      <c r="D167" s="111"/>
      <c r="E167" s="112"/>
      <c r="F167" s="112"/>
      <c r="G167" s="112"/>
      <c r="H167" s="117"/>
      <c r="I167" s="117"/>
      <c r="J167" s="117"/>
      <c r="K167" s="117"/>
      <c r="L167" s="117"/>
      <c r="M167" s="119"/>
      <c r="N167" s="119"/>
      <c r="O167" s="119"/>
    </row>
    <row r="168" spans="1:15" ht="25" customHeight="1" x14ac:dyDescent="0.35">
      <c r="A168" s="111"/>
      <c r="B168" s="111"/>
      <c r="C168" s="111"/>
      <c r="D168" s="111"/>
      <c r="E168" s="112"/>
      <c r="F168" s="112"/>
      <c r="G168" s="112"/>
      <c r="H168" s="117"/>
      <c r="I168" s="117"/>
      <c r="J168" s="117"/>
      <c r="K168" s="117"/>
      <c r="L168" s="117"/>
      <c r="M168" s="119"/>
      <c r="N168" s="119"/>
      <c r="O168" s="119"/>
    </row>
    <row r="169" spans="1:15" ht="25" customHeight="1" x14ac:dyDescent="0.35">
      <c r="A169" s="111"/>
      <c r="B169" s="111"/>
      <c r="C169" s="111"/>
      <c r="D169" s="111"/>
      <c r="E169" s="112"/>
      <c r="F169" s="112"/>
      <c r="G169" s="112"/>
      <c r="H169" s="117"/>
      <c r="I169" s="117"/>
      <c r="J169" s="117"/>
      <c r="K169" s="117"/>
      <c r="L169" s="117"/>
      <c r="M169" s="119"/>
      <c r="N169" s="119"/>
      <c r="O169" s="119"/>
    </row>
    <row r="170" spans="1:15" ht="25" customHeight="1" x14ac:dyDescent="0.35">
      <c r="A170" s="111"/>
      <c r="B170" s="111"/>
      <c r="C170" s="111"/>
      <c r="D170" s="111"/>
      <c r="E170" s="112"/>
      <c r="F170" s="112"/>
      <c r="G170" s="112"/>
      <c r="H170" s="117"/>
      <c r="I170" s="117"/>
      <c r="J170" s="117"/>
      <c r="K170" s="117"/>
      <c r="L170" s="117"/>
      <c r="M170" s="119"/>
      <c r="N170" s="119"/>
      <c r="O170" s="119"/>
    </row>
    <row r="171" spans="1:15" ht="25" customHeight="1" x14ac:dyDescent="0.35">
      <c r="A171" s="111"/>
      <c r="B171" s="111"/>
      <c r="C171" s="111"/>
      <c r="D171" s="111"/>
      <c r="E171" s="112"/>
      <c r="F171" s="112"/>
      <c r="G171" s="112"/>
      <c r="H171" s="117"/>
      <c r="I171" s="117"/>
      <c r="J171" s="117"/>
      <c r="K171" s="117"/>
      <c r="L171" s="117"/>
      <c r="M171" s="119"/>
      <c r="N171" s="119"/>
      <c r="O171" s="119"/>
    </row>
    <row r="172" spans="1:15" ht="25" customHeight="1" x14ac:dyDescent="0.35">
      <c r="A172" s="111"/>
      <c r="B172" s="111"/>
      <c r="C172" s="111"/>
      <c r="D172" s="111"/>
      <c r="E172" s="112"/>
      <c r="F172" s="112"/>
      <c r="G172" s="112"/>
      <c r="H172" s="117"/>
      <c r="I172" s="117"/>
      <c r="J172" s="117"/>
      <c r="K172" s="117"/>
      <c r="L172" s="117"/>
      <c r="M172" s="119"/>
      <c r="N172" s="119"/>
      <c r="O172" s="119"/>
    </row>
    <row r="173" spans="1:15" ht="25" customHeight="1" x14ac:dyDescent="0.35">
      <c r="A173" s="111"/>
      <c r="B173" s="111"/>
      <c r="C173" s="111"/>
      <c r="D173" s="111"/>
      <c r="E173" s="112"/>
      <c r="F173" s="112"/>
      <c r="G173" s="112"/>
      <c r="H173" s="117"/>
      <c r="I173" s="117"/>
      <c r="J173" s="117"/>
      <c r="K173" s="117"/>
      <c r="L173" s="117"/>
      <c r="M173" s="119"/>
      <c r="N173" s="119"/>
      <c r="O173" s="119"/>
    </row>
    <row r="174" spans="1:15" ht="25" customHeight="1" x14ac:dyDescent="0.35">
      <c r="A174" s="111"/>
      <c r="B174" s="111"/>
      <c r="C174" s="111"/>
      <c r="D174" s="111"/>
      <c r="E174" s="112"/>
      <c r="F174" s="112"/>
      <c r="G174" s="112"/>
      <c r="H174" s="117"/>
      <c r="I174" s="117"/>
      <c r="J174" s="117"/>
      <c r="K174" s="117"/>
      <c r="L174" s="117"/>
      <c r="M174" s="119"/>
      <c r="N174" s="119"/>
      <c r="O174" s="119"/>
    </row>
    <row r="175" spans="1:15" ht="25" customHeight="1" x14ac:dyDescent="0.35">
      <c r="A175" s="111"/>
      <c r="B175" s="111"/>
      <c r="C175" s="111"/>
      <c r="D175" s="111"/>
      <c r="E175" s="112"/>
      <c r="F175" s="112"/>
      <c r="G175" s="112"/>
      <c r="H175" s="117"/>
      <c r="I175" s="117"/>
      <c r="J175" s="117"/>
      <c r="K175" s="117"/>
      <c r="L175" s="117"/>
      <c r="M175" s="119"/>
      <c r="N175" s="119"/>
      <c r="O175" s="119"/>
    </row>
    <row r="176" spans="1:15" ht="25" customHeight="1" x14ac:dyDescent="0.35">
      <c r="A176" s="111"/>
      <c r="B176" s="111"/>
      <c r="C176" s="111"/>
      <c r="D176" s="111"/>
      <c r="E176" s="112"/>
      <c r="F176" s="112"/>
      <c r="G176" s="112"/>
      <c r="H176" s="117"/>
      <c r="I176" s="117"/>
      <c r="J176" s="117"/>
      <c r="K176" s="117"/>
      <c r="L176" s="117"/>
      <c r="M176" s="119"/>
      <c r="N176" s="119"/>
      <c r="O176" s="119"/>
    </row>
    <row r="177" spans="1:15" ht="25" customHeight="1" x14ac:dyDescent="0.35">
      <c r="A177" s="111"/>
      <c r="B177" s="111"/>
      <c r="C177" s="111"/>
      <c r="D177" s="111"/>
      <c r="E177" s="112"/>
      <c r="F177" s="112"/>
      <c r="G177" s="112"/>
      <c r="H177" s="117"/>
      <c r="I177" s="117"/>
      <c r="J177" s="117"/>
      <c r="K177" s="117"/>
      <c r="L177" s="117"/>
      <c r="M177" s="119"/>
      <c r="N177" s="119"/>
      <c r="O177" s="119"/>
    </row>
    <row r="178" spans="1:15" ht="25" customHeight="1" x14ac:dyDescent="0.35">
      <c r="A178" s="111"/>
      <c r="B178" s="111"/>
      <c r="C178" s="111"/>
      <c r="D178" s="111"/>
      <c r="E178" s="112"/>
      <c r="F178" s="112"/>
      <c r="G178" s="112"/>
      <c r="H178" s="117"/>
      <c r="I178" s="117"/>
      <c r="J178" s="117"/>
      <c r="K178" s="117"/>
      <c r="L178" s="117"/>
      <c r="M178" s="119"/>
      <c r="N178" s="119"/>
      <c r="O178" s="119"/>
    </row>
    <row r="179" spans="1:15" ht="25" customHeight="1" x14ac:dyDescent="0.35">
      <c r="A179" s="111"/>
      <c r="B179" s="111"/>
      <c r="C179" s="111"/>
      <c r="D179" s="111"/>
      <c r="E179" s="112"/>
      <c r="F179" s="112"/>
      <c r="G179" s="112"/>
      <c r="H179" s="117"/>
      <c r="I179" s="117"/>
      <c r="J179" s="117"/>
      <c r="K179" s="117"/>
      <c r="L179" s="117"/>
      <c r="M179" s="119"/>
      <c r="N179" s="119"/>
      <c r="O179" s="119"/>
    </row>
    <row r="180" spans="1:15" ht="25" customHeight="1" x14ac:dyDescent="0.35">
      <c r="A180" s="111"/>
      <c r="B180" s="111"/>
      <c r="C180" s="111"/>
      <c r="D180" s="111"/>
      <c r="E180" s="112"/>
      <c r="F180" s="112"/>
      <c r="G180" s="112"/>
      <c r="H180" s="117"/>
      <c r="I180" s="117"/>
      <c r="J180" s="117"/>
      <c r="K180" s="117"/>
      <c r="L180" s="117"/>
      <c r="M180" s="119"/>
      <c r="N180" s="119"/>
      <c r="O180" s="119"/>
    </row>
    <row r="181" spans="1:15" ht="25" customHeight="1" x14ac:dyDescent="0.35">
      <c r="A181" s="111"/>
      <c r="B181" s="111"/>
      <c r="C181" s="111"/>
      <c r="D181" s="111"/>
      <c r="E181" s="112"/>
      <c r="F181" s="112"/>
      <c r="G181" s="112"/>
      <c r="H181" s="117"/>
      <c r="I181" s="117"/>
      <c r="J181" s="117"/>
      <c r="K181" s="117"/>
      <c r="L181" s="117"/>
      <c r="M181" s="119"/>
      <c r="N181" s="119"/>
      <c r="O181" s="119"/>
    </row>
    <row r="182" spans="1:15" ht="25" customHeight="1" x14ac:dyDescent="0.35">
      <c r="A182" s="111"/>
      <c r="B182" s="111"/>
      <c r="C182" s="111"/>
      <c r="D182" s="111"/>
      <c r="E182" s="112"/>
      <c r="F182" s="112"/>
      <c r="G182" s="112"/>
      <c r="H182" s="117"/>
      <c r="I182" s="117"/>
      <c r="J182" s="117"/>
      <c r="K182" s="117"/>
      <c r="L182" s="117"/>
      <c r="M182" s="119"/>
      <c r="N182" s="119"/>
      <c r="O182" s="119"/>
    </row>
    <row r="183" spans="1:15" ht="25" customHeight="1" x14ac:dyDescent="0.35">
      <c r="A183" s="111"/>
      <c r="B183" s="111"/>
      <c r="C183" s="111"/>
      <c r="D183" s="111"/>
      <c r="E183" s="112"/>
      <c r="F183" s="112"/>
      <c r="G183" s="112"/>
      <c r="H183" s="117"/>
      <c r="I183" s="117"/>
      <c r="J183" s="117"/>
      <c r="K183" s="117"/>
      <c r="L183" s="117"/>
      <c r="M183" s="119"/>
      <c r="N183" s="119"/>
      <c r="O183" s="119"/>
    </row>
    <row r="184" spans="1:15" ht="25" customHeight="1" x14ac:dyDescent="0.35">
      <c r="A184" s="111"/>
      <c r="B184" s="111"/>
      <c r="C184" s="111"/>
      <c r="D184" s="111"/>
      <c r="E184" s="112"/>
      <c r="F184" s="112"/>
      <c r="G184" s="112"/>
      <c r="H184" s="117"/>
      <c r="I184" s="117"/>
      <c r="J184" s="117"/>
      <c r="K184" s="117"/>
      <c r="L184" s="117"/>
      <c r="M184" s="119"/>
      <c r="N184" s="119"/>
      <c r="O184" s="119"/>
    </row>
    <row r="185" spans="1:15" ht="25" customHeight="1" x14ac:dyDescent="0.35">
      <c r="A185" s="111"/>
      <c r="B185" s="111"/>
      <c r="C185" s="111"/>
      <c r="D185" s="111"/>
      <c r="E185" s="112"/>
      <c r="F185" s="112"/>
      <c r="G185" s="112"/>
      <c r="H185" s="117"/>
      <c r="I185" s="117"/>
      <c r="J185" s="117"/>
      <c r="K185" s="117"/>
      <c r="L185" s="117"/>
      <c r="M185" s="119"/>
      <c r="N185" s="119"/>
      <c r="O185" s="119"/>
    </row>
    <row r="186" spans="1:15" ht="25" customHeight="1" x14ac:dyDescent="0.35">
      <c r="A186" s="111"/>
      <c r="B186" s="111"/>
      <c r="C186" s="111"/>
      <c r="D186" s="111"/>
      <c r="E186" s="112"/>
      <c r="F186" s="112"/>
      <c r="G186" s="112"/>
      <c r="H186" s="117"/>
      <c r="I186" s="117"/>
      <c r="J186" s="117"/>
      <c r="K186" s="117"/>
      <c r="L186" s="117"/>
      <c r="M186" s="119"/>
      <c r="N186" s="119"/>
      <c r="O186" s="119"/>
    </row>
    <row r="187" spans="1:15" ht="25" customHeight="1" x14ac:dyDescent="0.35">
      <c r="A187" s="111"/>
      <c r="B187" s="111"/>
      <c r="C187" s="111"/>
      <c r="D187" s="111"/>
      <c r="E187" s="112"/>
      <c r="F187" s="112"/>
      <c r="G187" s="112"/>
      <c r="H187" s="117"/>
      <c r="I187" s="117"/>
      <c r="J187" s="117"/>
      <c r="K187" s="117"/>
      <c r="L187" s="117"/>
      <c r="M187" s="119"/>
      <c r="N187" s="119"/>
      <c r="O187" s="119"/>
    </row>
    <row r="188" spans="1:15" ht="25" customHeight="1" x14ac:dyDescent="0.35">
      <c r="A188" s="111"/>
      <c r="B188" s="111"/>
      <c r="C188" s="111"/>
      <c r="D188" s="111"/>
      <c r="E188" s="112"/>
      <c r="F188" s="112"/>
      <c r="G188" s="112"/>
      <c r="H188" s="117"/>
      <c r="I188" s="117"/>
      <c r="J188" s="117"/>
      <c r="K188" s="117"/>
      <c r="L188" s="117"/>
      <c r="M188" s="119"/>
      <c r="N188" s="119"/>
      <c r="O188" s="119"/>
    </row>
    <row r="189" spans="1:15" ht="25" customHeight="1" x14ac:dyDescent="0.35">
      <c r="A189" s="111"/>
      <c r="B189" s="111"/>
      <c r="C189" s="111"/>
      <c r="D189" s="111"/>
      <c r="E189" s="112"/>
      <c r="F189" s="112"/>
      <c r="G189" s="112"/>
      <c r="H189" s="117"/>
      <c r="I189" s="117"/>
      <c r="J189" s="117"/>
      <c r="K189" s="117"/>
      <c r="L189" s="117"/>
      <c r="M189" s="119"/>
      <c r="N189" s="119"/>
      <c r="O189" s="119"/>
    </row>
    <row r="190" spans="1:15" ht="25" customHeight="1" x14ac:dyDescent="0.35">
      <c r="A190" s="111"/>
      <c r="B190" s="111"/>
      <c r="C190" s="111"/>
      <c r="D190" s="111"/>
      <c r="E190" s="112"/>
      <c r="F190" s="112"/>
      <c r="G190" s="112"/>
      <c r="H190" s="117"/>
      <c r="I190" s="117"/>
      <c r="J190" s="117"/>
      <c r="K190" s="117"/>
      <c r="L190" s="117"/>
      <c r="M190" s="119"/>
      <c r="N190" s="119"/>
      <c r="O190" s="119"/>
    </row>
    <row r="191" spans="1:15" ht="25" customHeight="1" x14ac:dyDescent="0.35">
      <c r="A191" s="111"/>
      <c r="B191" s="111"/>
      <c r="C191" s="111"/>
      <c r="D191" s="111"/>
      <c r="E191" s="112"/>
      <c r="F191" s="112"/>
      <c r="G191" s="112"/>
      <c r="H191" s="117"/>
      <c r="I191" s="117"/>
      <c r="J191" s="117"/>
      <c r="K191" s="117"/>
      <c r="L191" s="117"/>
      <c r="M191" s="119"/>
      <c r="N191" s="119"/>
      <c r="O191" s="119"/>
    </row>
    <row r="192" spans="1:15" ht="25" customHeight="1" x14ac:dyDescent="0.35">
      <c r="A192" s="111"/>
      <c r="B192" s="111"/>
      <c r="C192" s="111"/>
      <c r="D192" s="111"/>
      <c r="E192" s="112"/>
      <c r="F192" s="112"/>
      <c r="G192" s="112"/>
      <c r="H192" s="117"/>
      <c r="I192" s="117"/>
      <c r="J192" s="117"/>
      <c r="K192" s="117"/>
      <c r="L192" s="117"/>
      <c r="M192" s="119"/>
      <c r="N192" s="119"/>
      <c r="O192" s="119"/>
    </row>
    <row r="193" spans="1:15" ht="25" customHeight="1" x14ac:dyDescent="0.35">
      <c r="A193" s="111"/>
      <c r="B193" s="111"/>
      <c r="C193" s="111"/>
      <c r="D193" s="111"/>
      <c r="E193" s="112"/>
      <c r="F193" s="112"/>
      <c r="G193" s="112"/>
      <c r="H193" s="117"/>
      <c r="I193" s="117"/>
      <c r="J193" s="117"/>
      <c r="K193" s="117"/>
      <c r="L193" s="117"/>
      <c r="M193" s="119"/>
      <c r="N193" s="119"/>
      <c r="O193" s="119"/>
    </row>
    <row r="194" spans="1:15" ht="25" customHeight="1" x14ac:dyDescent="0.35">
      <c r="A194" s="111"/>
      <c r="B194" s="111"/>
      <c r="C194" s="111"/>
      <c r="D194" s="111"/>
      <c r="E194" s="112"/>
      <c r="F194" s="112"/>
      <c r="G194" s="112"/>
      <c r="H194" s="117"/>
      <c r="I194" s="117"/>
      <c r="J194" s="117"/>
      <c r="K194" s="117"/>
      <c r="L194" s="117"/>
      <c r="M194" s="119"/>
      <c r="N194" s="119"/>
      <c r="O194" s="119"/>
    </row>
    <row r="195" spans="1:15" ht="25" customHeight="1" x14ac:dyDescent="0.35">
      <c r="A195" s="111"/>
      <c r="B195" s="111"/>
      <c r="C195" s="111"/>
      <c r="D195" s="111"/>
      <c r="E195" s="112"/>
      <c r="F195" s="112"/>
      <c r="G195" s="112"/>
      <c r="H195" s="117"/>
      <c r="I195" s="117"/>
      <c r="J195" s="117"/>
      <c r="K195" s="117"/>
      <c r="L195" s="117"/>
      <c r="M195" s="119"/>
      <c r="N195" s="119"/>
      <c r="O195" s="119"/>
    </row>
    <row r="196" spans="1:15" ht="25" customHeight="1" x14ac:dyDescent="0.35">
      <c r="A196" s="111"/>
      <c r="B196" s="111"/>
      <c r="C196" s="111"/>
      <c r="D196" s="111"/>
      <c r="E196" s="112"/>
      <c r="F196" s="112"/>
      <c r="G196" s="112"/>
      <c r="H196" s="117"/>
      <c r="I196" s="117"/>
      <c r="J196" s="117"/>
      <c r="K196" s="117"/>
      <c r="L196" s="117"/>
      <c r="M196" s="119"/>
      <c r="N196" s="119"/>
      <c r="O196" s="119"/>
    </row>
    <row r="197" spans="1:15" ht="25" customHeight="1" x14ac:dyDescent="0.35">
      <c r="A197" s="111"/>
      <c r="B197" s="111"/>
      <c r="C197" s="111"/>
      <c r="D197" s="111"/>
      <c r="E197" s="112"/>
      <c r="F197" s="112"/>
      <c r="G197" s="112"/>
      <c r="H197" s="117"/>
      <c r="I197" s="117"/>
      <c r="J197" s="117"/>
      <c r="K197" s="117"/>
      <c r="L197" s="117"/>
      <c r="M197" s="119"/>
      <c r="N197" s="119"/>
      <c r="O197" s="119"/>
    </row>
    <row r="198" spans="1:15" ht="25" customHeight="1" x14ac:dyDescent="0.35">
      <c r="A198" s="111"/>
      <c r="B198" s="111"/>
      <c r="C198" s="111"/>
      <c r="D198" s="111"/>
      <c r="E198" s="112"/>
      <c r="F198" s="112"/>
      <c r="G198" s="112"/>
      <c r="H198" s="117"/>
      <c r="I198" s="117"/>
      <c r="J198" s="117"/>
      <c r="K198" s="117"/>
      <c r="L198" s="117"/>
      <c r="M198" s="119"/>
      <c r="N198" s="119"/>
      <c r="O198" s="119"/>
    </row>
    <row r="199" spans="1:15" ht="25" customHeight="1" x14ac:dyDescent="0.35">
      <c r="A199" s="111"/>
      <c r="B199" s="111"/>
      <c r="C199" s="111"/>
      <c r="D199" s="111"/>
      <c r="E199" s="112"/>
      <c r="F199" s="112"/>
      <c r="G199" s="112"/>
      <c r="H199" s="117"/>
      <c r="I199" s="117"/>
      <c r="J199" s="117"/>
      <c r="K199" s="117"/>
      <c r="L199" s="117"/>
      <c r="M199" s="119"/>
      <c r="N199" s="119"/>
      <c r="O199" s="119"/>
    </row>
  </sheetData>
  <mergeCells count="4">
    <mergeCell ref="A2:D2"/>
    <mergeCell ref="E2:G2"/>
    <mergeCell ref="H2:L2"/>
    <mergeCell ref="M2:N2"/>
  </mergeCells>
  <conditionalFormatting sqref="M1:O1048576">
    <cfRule type="cellIs" dxfId="1" priority="1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A292"/>
  <sheetViews>
    <sheetView zoomScaleNormal="100"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8.81640625" defaultRowHeight="14" x14ac:dyDescent="0.3"/>
  <cols>
    <col min="1" max="1" width="4" style="108" customWidth="1"/>
    <col min="2" max="2" width="8.81640625" style="351"/>
    <col min="3" max="3" width="26.1796875" style="279" customWidth="1"/>
    <col min="4" max="4" width="28.36328125" style="279" hidden="1" customWidth="1"/>
    <col min="5" max="5" width="26.36328125" style="351" hidden="1" customWidth="1"/>
    <col min="6" max="6" width="16" style="109" hidden="1" customWidth="1"/>
    <col min="7" max="7" width="15.453125" style="109" hidden="1" customWidth="1"/>
    <col min="8" max="8" width="15.453125" style="352" hidden="1" customWidth="1"/>
    <col min="9" max="9" width="15.6328125" style="109" hidden="1" customWidth="1"/>
    <col min="10" max="10" width="11.81640625" style="279" customWidth="1"/>
    <col min="11" max="11" width="13.81640625" style="109" customWidth="1"/>
    <col min="12" max="12" width="18.6328125" style="109" hidden="1" customWidth="1"/>
    <col min="13" max="13" width="12.36328125" style="109" customWidth="1"/>
    <col min="14" max="16" width="18.6328125" style="109" hidden="1" customWidth="1"/>
    <col min="17" max="17" width="31.453125" style="279" hidden="1" customWidth="1"/>
    <col min="18" max="18" width="25.453125" style="279" hidden="1" customWidth="1"/>
    <col min="19" max="19" width="27.453125" style="279" hidden="1" customWidth="1"/>
    <col min="20" max="20" width="10.1796875" style="221" customWidth="1"/>
    <col min="21" max="21" width="10.81640625" style="221" customWidth="1"/>
    <col min="22" max="22" width="8.6328125" style="221" customWidth="1"/>
    <col min="23" max="23" width="10.36328125" style="221" customWidth="1"/>
    <col min="24" max="24" width="11" style="221" customWidth="1"/>
    <col min="25" max="25" width="12.1796875" style="221" customWidth="1"/>
    <col min="26" max="26" width="14.81640625" style="221" customWidth="1"/>
    <col min="27" max="33" width="14.81640625" style="353" customWidth="1"/>
    <col min="34" max="34" width="18.6328125" style="109" customWidth="1"/>
    <col min="35" max="35" width="14.36328125" style="108" customWidth="1"/>
    <col min="36" max="36" width="12.453125" style="108" customWidth="1"/>
    <col min="37" max="37" width="11.81640625" style="108" customWidth="1"/>
    <col min="38" max="48" width="8.81640625" style="108"/>
    <col min="49" max="49" width="13.81640625" style="108" customWidth="1"/>
    <col min="50" max="50" width="11.81640625" style="108" customWidth="1"/>
    <col min="51" max="51" width="9.6328125" style="108" customWidth="1"/>
    <col min="52" max="52" width="11.1796875" style="108" customWidth="1"/>
    <col min="53" max="53" width="8.81640625" style="108"/>
    <col min="54" max="54" width="12.36328125" style="108" customWidth="1"/>
    <col min="55" max="56" width="8.81640625" style="108"/>
    <col min="57" max="57" width="10.453125" style="108" customWidth="1"/>
    <col min="58" max="58" width="11.6328125" style="108" customWidth="1"/>
    <col min="59" max="61" width="8.81640625" style="108"/>
    <col min="62" max="62" width="11.36328125" style="108" customWidth="1"/>
    <col min="63" max="16384" width="8.81640625" style="108"/>
  </cols>
  <sheetData>
    <row r="2" spans="2:64" x14ac:dyDescent="0.3">
      <c r="T2" s="221">
        <f>20%*Y2</f>
        <v>200</v>
      </c>
      <c r="U2" s="221">
        <f>30%*Y2</f>
        <v>300</v>
      </c>
      <c r="V2" s="221">
        <f>10%*Y2</f>
        <v>100</v>
      </c>
      <c r="X2" s="221">
        <f>5%*Y2</f>
        <v>50</v>
      </c>
      <c r="Y2" s="221">
        <v>1000</v>
      </c>
      <c r="AW2" s="289">
        <v>4</v>
      </c>
      <c r="AX2" s="289">
        <v>4</v>
      </c>
      <c r="AY2" s="289">
        <v>1</v>
      </c>
      <c r="AZ2" s="289">
        <v>1</v>
      </c>
      <c r="BA2" s="289">
        <v>1</v>
      </c>
      <c r="BB2" s="289">
        <v>4</v>
      </c>
      <c r="BE2" s="289">
        <v>4</v>
      </c>
      <c r="BF2" s="289">
        <v>4</v>
      </c>
      <c r="BG2" s="289">
        <v>1</v>
      </c>
      <c r="BH2" s="289">
        <v>1</v>
      </c>
      <c r="BI2" s="289">
        <v>1</v>
      </c>
      <c r="BJ2" s="289">
        <v>4</v>
      </c>
    </row>
    <row r="3" spans="2:64" ht="29" customHeight="1" x14ac:dyDescent="0.3">
      <c r="B3" s="480"/>
      <c r="C3" s="481"/>
      <c r="D3" s="481"/>
      <c r="E3" s="481"/>
      <c r="F3" s="481"/>
      <c r="G3" s="481"/>
      <c r="H3" s="481"/>
      <c r="I3" s="481"/>
      <c r="J3" s="482"/>
      <c r="K3" s="480"/>
      <c r="L3" s="482"/>
      <c r="M3" s="480"/>
      <c r="N3" s="481"/>
      <c r="O3" s="481"/>
      <c r="P3" s="481"/>
      <c r="Q3" s="481"/>
      <c r="R3" s="481"/>
      <c r="S3" s="482"/>
      <c r="T3" s="479" t="s">
        <v>108</v>
      </c>
      <c r="U3" s="479"/>
      <c r="V3" s="479"/>
      <c r="W3" s="479"/>
      <c r="X3" s="479"/>
      <c r="Y3" s="479"/>
      <c r="Z3" s="354"/>
      <c r="AA3" s="477" t="s">
        <v>2690</v>
      </c>
      <c r="AB3" s="478"/>
      <c r="AC3" s="404" t="s">
        <v>1971</v>
      </c>
      <c r="AD3" s="355"/>
      <c r="AE3" s="355"/>
      <c r="AF3" s="355"/>
      <c r="AG3" s="355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356"/>
    </row>
    <row r="4" spans="2:64" ht="42" x14ac:dyDescent="0.3">
      <c r="B4" s="357" t="s">
        <v>20</v>
      </c>
      <c r="C4" s="358" t="s">
        <v>75</v>
      </c>
      <c r="D4" s="475" t="s">
        <v>2</v>
      </c>
      <c r="E4" s="476"/>
      <c r="F4" s="475" t="s">
        <v>340</v>
      </c>
      <c r="G4" s="476"/>
      <c r="H4" s="475" t="s">
        <v>341</v>
      </c>
      <c r="I4" s="476"/>
      <c r="J4" s="149" t="s">
        <v>76</v>
      </c>
      <c r="K4" s="359" t="s">
        <v>11</v>
      </c>
      <c r="L4" s="153" t="s">
        <v>77</v>
      </c>
      <c r="M4" s="151" t="s">
        <v>78</v>
      </c>
      <c r="N4" s="151" t="s">
        <v>79</v>
      </c>
      <c r="O4" s="151" t="s">
        <v>80</v>
      </c>
      <c r="P4" s="151" t="s">
        <v>81</v>
      </c>
      <c r="Q4" s="151" t="s">
        <v>102</v>
      </c>
      <c r="R4" s="151" t="s">
        <v>89</v>
      </c>
      <c r="S4" s="159" t="s">
        <v>101</v>
      </c>
      <c r="T4" s="152" t="s">
        <v>103</v>
      </c>
      <c r="U4" s="152" t="s">
        <v>104</v>
      </c>
      <c r="V4" s="152" t="s">
        <v>105</v>
      </c>
      <c r="W4" s="152" t="s">
        <v>106</v>
      </c>
      <c r="X4" s="152" t="s">
        <v>107</v>
      </c>
      <c r="Y4" s="153" t="s">
        <v>156</v>
      </c>
      <c r="Z4" s="153" t="s">
        <v>1969</v>
      </c>
      <c r="AA4" s="360" t="s">
        <v>1621</v>
      </c>
      <c r="AB4" s="360" t="s">
        <v>2691</v>
      </c>
      <c r="AC4" s="406">
        <v>1.4999999999999999E-2</v>
      </c>
      <c r="AD4" s="360"/>
      <c r="AE4" s="360"/>
      <c r="AF4" s="360"/>
      <c r="AG4" s="360"/>
      <c r="AH4" s="109" t="s">
        <v>1622</v>
      </c>
      <c r="AI4" s="361" t="s">
        <v>1623</v>
      </c>
      <c r="AJ4" s="361" t="s">
        <v>1624</v>
      </c>
      <c r="AK4" s="361" t="s">
        <v>1625</v>
      </c>
      <c r="AW4" s="362" t="s">
        <v>103</v>
      </c>
      <c r="AX4" s="362" t="s">
        <v>104</v>
      </c>
      <c r="AY4" s="362" t="s">
        <v>105</v>
      </c>
      <c r="AZ4" s="362" t="s">
        <v>106</v>
      </c>
      <c r="BA4" s="362" t="s">
        <v>107</v>
      </c>
      <c r="BB4" s="363" t="s">
        <v>156</v>
      </c>
      <c r="BC4" s="281" t="s">
        <v>1977</v>
      </c>
      <c r="BE4" s="362" t="s">
        <v>103</v>
      </c>
      <c r="BF4" s="362" t="s">
        <v>104</v>
      </c>
      <c r="BG4" s="362" t="s">
        <v>105</v>
      </c>
      <c r="BH4" s="362" t="s">
        <v>106</v>
      </c>
      <c r="BI4" s="362" t="s">
        <v>107</v>
      </c>
      <c r="BJ4" s="363" t="s">
        <v>156</v>
      </c>
      <c r="BK4" s="281" t="s">
        <v>1978</v>
      </c>
    </row>
    <row r="5" spans="2:64" s="372" customFormat="1" ht="25" customHeight="1" x14ac:dyDescent="0.3">
      <c r="B5" s="364"/>
      <c r="C5" s="365"/>
      <c r="D5" s="365"/>
      <c r="E5" s="364"/>
      <c r="F5" s="366"/>
      <c r="G5" s="366"/>
      <c r="H5" s="366"/>
      <c r="I5" s="366"/>
      <c r="J5" s="365"/>
      <c r="K5" s="367"/>
      <c r="L5" s="366"/>
      <c r="M5" s="368"/>
      <c r="N5" s="368"/>
      <c r="O5" s="366"/>
      <c r="P5" s="366"/>
      <c r="Q5" s="365"/>
      <c r="R5" s="365"/>
      <c r="S5" s="369"/>
      <c r="T5" s="370"/>
      <c r="U5" s="370"/>
      <c r="V5" s="370"/>
      <c r="W5" s="370"/>
      <c r="X5" s="370"/>
      <c r="Y5" s="370"/>
      <c r="Z5" s="370"/>
      <c r="AA5" s="371"/>
      <c r="AB5" s="371"/>
      <c r="AC5" s="371"/>
      <c r="AD5" s="371"/>
      <c r="AE5" s="371"/>
      <c r="AF5" s="371"/>
      <c r="AG5" s="371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</row>
    <row r="6" spans="2:64" s="372" customFormat="1" ht="30" customHeight="1" x14ac:dyDescent="0.35">
      <c r="B6" s="373" t="s">
        <v>761</v>
      </c>
      <c r="C6" s="374" t="s">
        <v>762</v>
      </c>
      <c r="D6" s="375" t="s">
        <v>481</v>
      </c>
      <c r="E6" s="375" t="s">
        <v>451</v>
      </c>
      <c r="F6" s="376">
        <f>7+35/60+46/3600</f>
        <v>7.596111111111111</v>
      </c>
      <c r="G6" s="376">
        <f>134+36/60+21/3600</f>
        <v>134.60583333333332</v>
      </c>
      <c r="H6" s="376">
        <f>7+41/60+21/3600</f>
        <v>7.6891666666666669</v>
      </c>
      <c r="I6" s="376">
        <f>134+38/60+3/3600</f>
        <v>134.63416666666666</v>
      </c>
      <c r="J6" s="375" t="s">
        <v>99</v>
      </c>
      <c r="K6" s="377">
        <v>2001</v>
      </c>
      <c r="L6" s="375" t="s">
        <v>311</v>
      </c>
      <c r="M6" s="378">
        <v>13895</v>
      </c>
      <c r="N6" s="379">
        <v>6</v>
      </c>
      <c r="O6" s="375">
        <v>2</v>
      </c>
      <c r="P6" s="375" t="s">
        <v>272</v>
      </c>
      <c r="Q6" s="375" t="s">
        <v>766</v>
      </c>
      <c r="R6" s="375" t="s">
        <v>270</v>
      </c>
      <c r="S6" s="380" t="s">
        <v>763</v>
      </c>
      <c r="T6" s="154">
        <v>3</v>
      </c>
      <c r="U6" s="154">
        <v>2</v>
      </c>
      <c r="V6" s="154">
        <v>5</v>
      </c>
      <c r="W6" s="154">
        <v>5</v>
      </c>
      <c r="X6" s="154">
        <v>2</v>
      </c>
      <c r="Y6" s="154">
        <v>4</v>
      </c>
      <c r="Z6" s="154">
        <f>BC6/BK6*100</f>
        <v>64</v>
      </c>
      <c r="AA6" s="405">
        <f>T$2*M6+U$2*M6+V$2*AF6+X$2*AF6</f>
        <v>9031750</v>
      </c>
      <c r="AB6" s="405">
        <f>U$2*M6+V$2*AE6+X$2*AF6</f>
        <v>6252750</v>
      </c>
      <c r="AC6" s="407">
        <f>ROUND(AC$4*AB6,-2)</f>
        <v>93800</v>
      </c>
      <c r="AD6" s="343"/>
      <c r="AE6" s="343">
        <f>IF(V6="N/A",0,M6)</f>
        <v>13895</v>
      </c>
      <c r="AF6" s="343">
        <f>IF(X6="N/A",0,M6)</f>
        <v>13895</v>
      </c>
      <c r="AG6" s="343"/>
      <c r="AH6" s="381">
        <f>$M6*T$2</f>
        <v>2779000</v>
      </c>
      <c r="AI6" s="381">
        <f>$M6*U$2</f>
        <v>4168500</v>
      </c>
      <c r="AJ6" s="381"/>
      <c r="AK6" s="381">
        <f>$M6*X$2</f>
        <v>694750</v>
      </c>
      <c r="AW6" s="217">
        <f t="shared" ref="AW6:BB6" si="0">IF(OR(T6=1,T6=2,T6=3,T6=4,T6=5),T6,0)</f>
        <v>3</v>
      </c>
      <c r="AX6" s="217">
        <f t="shared" si="0"/>
        <v>2</v>
      </c>
      <c r="AY6" s="217">
        <f t="shared" si="0"/>
        <v>5</v>
      </c>
      <c r="AZ6" s="217">
        <f t="shared" si="0"/>
        <v>5</v>
      </c>
      <c r="BA6" s="217">
        <f t="shared" si="0"/>
        <v>2</v>
      </c>
      <c r="BB6" s="217">
        <f t="shared" si="0"/>
        <v>4</v>
      </c>
      <c r="BC6" s="217">
        <f>AW$2*AW6+AX$2*AX6+AY$2*AY6+AZ$2*AZ6+BA$2*BA6+BB$2*BB6</f>
        <v>48</v>
      </c>
      <c r="BD6" s="217"/>
      <c r="BE6" s="217">
        <f t="shared" ref="BE6:BJ6" si="1">IF(OR(T6=1,T6=2,T6=3,T6=4,T6=5),5,0)</f>
        <v>5</v>
      </c>
      <c r="BF6" s="217">
        <f t="shared" si="1"/>
        <v>5</v>
      </c>
      <c r="BG6" s="217">
        <f t="shared" si="1"/>
        <v>5</v>
      </c>
      <c r="BH6" s="217">
        <f t="shared" si="1"/>
        <v>5</v>
      </c>
      <c r="BI6" s="217">
        <f t="shared" si="1"/>
        <v>5</v>
      </c>
      <c r="BJ6" s="217">
        <f t="shared" si="1"/>
        <v>5</v>
      </c>
      <c r="BK6" s="217">
        <f>BE$2*BE6+BF$2*BF6+BG$2*BG6+BH$2*BH6+BI$2*BI6+BJ$2*BJ6</f>
        <v>75</v>
      </c>
    </row>
    <row r="7" spans="2:64" s="372" customFormat="1" ht="30" customHeight="1" x14ac:dyDescent="0.35">
      <c r="B7" s="373" t="s">
        <v>764</v>
      </c>
      <c r="C7" s="374" t="s">
        <v>765</v>
      </c>
      <c r="D7" s="375" t="s">
        <v>791</v>
      </c>
      <c r="E7" s="375" t="s">
        <v>481</v>
      </c>
      <c r="F7" s="376">
        <f>7+36/60+24/3600</f>
        <v>7.6066666666666665</v>
      </c>
      <c r="G7" s="376">
        <f>134+35/60+2/3600</f>
        <v>134.58388888888891</v>
      </c>
      <c r="H7" s="376">
        <f>7+35/60+15/3600</f>
        <v>7.5874999999999995</v>
      </c>
      <c r="I7" s="376">
        <f>134+37/60+36/3600</f>
        <v>134.62666666666667</v>
      </c>
      <c r="J7" s="375" t="s">
        <v>365</v>
      </c>
      <c r="K7" s="377">
        <v>2001</v>
      </c>
      <c r="L7" s="375" t="s">
        <v>311</v>
      </c>
      <c r="M7" s="378">
        <v>6530</v>
      </c>
      <c r="N7" s="379">
        <v>7.2</v>
      </c>
      <c r="O7" s="375">
        <v>2</v>
      </c>
      <c r="P7" s="375" t="s">
        <v>272</v>
      </c>
      <c r="Q7" s="375" t="s">
        <v>766</v>
      </c>
      <c r="R7" s="375" t="s">
        <v>270</v>
      </c>
      <c r="S7" s="380" t="s">
        <v>763</v>
      </c>
      <c r="T7" s="154">
        <v>5</v>
      </c>
      <c r="U7" s="154">
        <v>4</v>
      </c>
      <c r="V7" s="154">
        <v>5</v>
      </c>
      <c r="W7" s="154">
        <v>4</v>
      </c>
      <c r="X7" s="154">
        <v>3</v>
      </c>
      <c r="Y7" s="154">
        <v>5</v>
      </c>
      <c r="Z7" s="154">
        <f>ROUNDUP(BC7/BK7*100,0)</f>
        <v>91</v>
      </c>
      <c r="AA7" s="405">
        <f t="shared" ref="AA7:AA70" si="2">T$2*M7+U$2*M7+V$2*AF7+X$2*AF7</f>
        <v>3265000</v>
      </c>
      <c r="AB7" s="405">
        <f t="shared" ref="AB7:AB70" si="3">U$2*M7+V$2*AE7+X$2*AF7</f>
        <v>1959000</v>
      </c>
      <c r="AC7" s="407">
        <f t="shared" ref="AC7:AC70" si="4">ROUND(AC$4*AB7,-2)</f>
        <v>29400</v>
      </c>
      <c r="AD7" s="343"/>
      <c r="AE7" s="343"/>
      <c r="AF7" s="343"/>
      <c r="AG7" s="343"/>
      <c r="AH7" s="382"/>
      <c r="AW7" s="217">
        <f t="shared" ref="AW7:AW70" si="5">IF(OR(T7=1,T7=2,T7=3,T7=4,T7=5),T7,0)</f>
        <v>5</v>
      </c>
      <c r="AX7" s="217">
        <f t="shared" ref="AX7:AX70" si="6">IF(OR(U7=1,U7=2,U7=3,U7=4,U7=5),U7,0)</f>
        <v>4</v>
      </c>
      <c r="AY7" s="217">
        <f t="shared" ref="AY7:AY70" si="7">IF(OR(V7=1,V7=2,V7=3,V7=4,V7=5),V7,0)</f>
        <v>5</v>
      </c>
      <c r="AZ7" s="217">
        <f t="shared" ref="AZ7:AZ70" si="8">IF(OR(W7=1,W7=2,W7=3,W7=4,W7=5),W7,0)</f>
        <v>4</v>
      </c>
      <c r="BA7" s="217">
        <f t="shared" ref="BA7:BA70" si="9">IF(OR(X7=1,X7=2,X7=3,X7=4,X7=5),X7,0)</f>
        <v>3</v>
      </c>
      <c r="BB7" s="217">
        <f t="shared" ref="BB7:BB70" si="10">IF(OR(Y7=1,Y7=2,Y7=3,Y7=4,Y7=5),Y7,0)</f>
        <v>5</v>
      </c>
      <c r="BC7" s="217">
        <f t="shared" ref="BC7:BC70" si="11">AW$2*AW7+AX$2*AX7+AY$2*AY7+AZ$2*AZ7+BA$2*BA7+BB$2*BB7</f>
        <v>68</v>
      </c>
      <c r="BD7" s="217"/>
      <c r="BE7" s="217">
        <f t="shared" ref="BE7:BE70" si="12">IF(OR(T7=1,T7=2,T7=3,T7=4,T7=5),5,0)</f>
        <v>5</v>
      </c>
      <c r="BF7" s="217">
        <f t="shared" ref="BF7:BF70" si="13">IF(OR(U7=1,U7=2,U7=3,U7=4,U7=5),5,0)</f>
        <v>5</v>
      </c>
      <c r="BG7" s="217">
        <f t="shared" ref="BG7:BG70" si="14">IF(OR(V7=1,V7=2,V7=3,V7=4,V7=5),5,0)</f>
        <v>5</v>
      </c>
      <c r="BH7" s="217">
        <f t="shared" ref="BH7:BH70" si="15">IF(OR(W7=1,W7=2,W7=3,W7=4,W7=5),5,0)</f>
        <v>5</v>
      </c>
      <c r="BI7" s="217">
        <f t="shared" ref="BI7:BI70" si="16">IF(OR(X7=1,X7=2,X7=3,X7=4,X7=5),5,0)</f>
        <v>5</v>
      </c>
      <c r="BJ7" s="217">
        <f t="shared" ref="BJ7:BJ70" si="17">IF(OR(Y7=1,Y7=2,Y7=3,Y7=4,Y7=5),5,0)</f>
        <v>5</v>
      </c>
      <c r="BK7" s="217">
        <f t="shared" ref="BK7:BK70" si="18">BE$2*BE7+BF$2*BF7+BG$2*BG7+BH$2*BH7+BI$2*BI7+BJ$2*BJ7</f>
        <v>75</v>
      </c>
    </row>
    <row r="8" spans="2:64" s="372" customFormat="1" ht="30" customHeight="1" x14ac:dyDescent="0.35">
      <c r="B8" s="373" t="s">
        <v>767</v>
      </c>
      <c r="C8" s="374" t="s">
        <v>768</v>
      </c>
      <c r="D8" s="375" t="s">
        <v>290</v>
      </c>
      <c r="E8" s="375" t="s">
        <v>791</v>
      </c>
      <c r="F8" s="376">
        <f>7+31/60+26/3600</f>
        <v>7.5238888888888891</v>
      </c>
      <c r="G8" s="376">
        <f>134+33/60+1/3600</f>
        <v>134.55027777777778</v>
      </c>
      <c r="H8" s="376">
        <f>7+36/60+24/3600</f>
        <v>7.6066666666666665</v>
      </c>
      <c r="I8" s="376">
        <f>134+35/60+2/3600</f>
        <v>134.58388888888891</v>
      </c>
      <c r="J8" s="375" t="s">
        <v>365</v>
      </c>
      <c r="K8" s="377">
        <v>2001</v>
      </c>
      <c r="L8" s="375" t="s">
        <v>311</v>
      </c>
      <c r="M8" s="378">
        <v>12355</v>
      </c>
      <c r="N8" s="379">
        <v>7.2</v>
      </c>
      <c r="O8" s="375">
        <v>2</v>
      </c>
      <c r="P8" s="375" t="s">
        <v>272</v>
      </c>
      <c r="Q8" s="375" t="s">
        <v>766</v>
      </c>
      <c r="R8" s="375" t="s">
        <v>270</v>
      </c>
      <c r="S8" s="380" t="s">
        <v>763</v>
      </c>
      <c r="T8" s="154">
        <v>5</v>
      </c>
      <c r="U8" s="154">
        <v>4</v>
      </c>
      <c r="V8" s="154">
        <v>5</v>
      </c>
      <c r="W8" s="154">
        <v>4</v>
      </c>
      <c r="X8" s="154">
        <v>3</v>
      </c>
      <c r="Y8" s="154">
        <v>5</v>
      </c>
      <c r="Z8" s="154">
        <f t="shared" ref="Z8:Z71" si="19">ROUNDUP(BC8/BK8*100,0)</f>
        <v>91</v>
      </c>
      <c r="AA8" s="405">
        <f t="shared" si="2"/>
        <v>6177500</v>
      </c>
      <c r="AB8" s="405">
        <f t="shared" si="3"/>
        <v>3706500</v>
      </c>
      <c r="AC8" s="407">
        <f t="shared" si="4"/>
        <v>55600</v>
      </c>
      <c r="AD8" s="343"/>
      <c r="AE8" s="343"/>
      <c r="AF8" s="343"/>
      <c r="AG8" s="343"/>
      <c r="AH8" s="382"/>
      <c r="AW8" s="217">
        <f t="shared" si="5"/>
        <v>5</v>
      </c>
      <c r="AX8" s="217">
        <f t="shared" si="6"/>
        <v>4</v>
      </c>
      <c r="AY8" s="217">
        <f t="shared" si="7"/>
        <v>5</v>
      </c>
      <c r="AZ8" s="217">
        <f t="shared" si="8"/>
        <v>4</v>
      </c>
      <c r="BA8" s="217">
        <f t="shared" si="9"/>
        <v>3</v>
      </c>
      <c r="BB8" s="217">
        <f t="shared" si="10"/>
        <v>5</v>
      </c>
      <c r="BC8" s="217">
        <f t="shared" si="11"/>
        <v>68</v>
      </c>
      <c r="BD8" s="217"/>
      <c r="BE8" s="217">
        <f t="shared" si="12"/>
        <v>5</v>
      </c>
      <c r="BF8" s="217">
        <f t="shared" si="13"/>
        <v>5</v>
      </c>
      <c r="BG8" s="217">
        <f t="shared" si="14"/>
        <v>5</v>
      </c>
      <c r="BH8" s="217">
        <f t="shared" si="15"/>
        <v>5</v>
      </c>
      <c r="BI8" s="217">
        <f t="shared" si="16"/>
        <v>5</v>
      </c>
      <c r="BJ8" s="217">
        <f t="shared" si="17"/>
        <v>5</v>
      </c>
      <c r="BK8" s="217">
        <f t="shared" si="18"/>
        <v>75</v>
      </c>
    </row>
    <row r="9" spans="2:64" s="372" customFormat="1" ht="30" customHeight="1" x14ac:dyDescent="0.35">
      <c r="B9" s="373" t="s">
        <v>769</v>
      </c>
      <c r="C9" s="374" t="s">
        <v>770</v>
      </c>
      <c r="D9" s="375" t="s">
        <v>481</v>
      </c>
      <c r="E9" s="375" t="s">
        <v>517</v>
      </c>
      <c r="F9" s="376">
        <f>7+35/60+15/3600</f>
        <v>7.5874999999999995</v>
      </c>
      <c r="G9" s="376">
        <f>134+37/60+36/3600</f>
        <v>134.62666666666667</v>
      </c>
      <c r="H9" s="376">
        <f>7+32/60+11/3600</f>
        <v>7.5363888888888884</v>
      </c>
      <c r="I9" s="376">
        <f>134+37/60+26/3600</f>
        <v>134.6238888888889</v>
      </c>
      <c r="J9" s="375" t="s">
        <v>365</v>
      </c>
      <c r="K9" s="377">
        <v>2001</v>
      </c>
      <c r="L9" s="375" t="s">
        <v>311</v>
      </c>
      <c r="M9" s="378">
        <v>6325</v>
      </c>
      <c r="N9" s="379">
        <v>7.2</v>
      </c>
      <c r="O9" s="375">
        <v>2</v>
      </c>
      <c r="P9" s="375" t="s">
        <v>272</v>
      </c>
      <c r="Q9" s="375" t="s">
        <v>766</v>
      </c>
      <c r="R9" s="375" t="s">
        <v>270</v>
      </c>
      <c r="S9" s="380" t="s">
        <v>763</v>
      </c>
      <c r="T9" s="154">
        <v>5</v>
      </c>
      <c r="U9" s="154">
        <v>4</v>
      </c>
      <c r="V9" s="154">
        <v>5</v>
      </c>
      <c r="W9" s="154">
        <v>4</v>
      </c>
      <c r="X9" s="154">
        <v>3</v>
      </c>
      <c r="Y9" s="154">
        <v>5</v>
      </c>
      <c r="Z9" s="154">
        <f t="shared" si="19"/>
        <v>91</v>
      </c>
      <c r="AA9" s="405">
        <f t="shared" si="2"/>
        <v>3162500</v>
      </c>
      <c r="AB9" s="405">
        <f t="shared" si="3"/>
        <v>1897500</v>
      </c>
      <c r="AC9" s="407">
        <f t="shared" si="4"/>
        <v>28500</v>
      </c>
      <c r="AD9" s="343"/>
      <c r="AE9" s="343"/>
      <c r="AF9" s="343"/>
      <c r="AG9" s="343"/>
      <c r="AH9" s="382"/>
      <c r="AW9" s="217">
        <f t="shared" si="5"/>
        <v>5</v>
      </c>
      <c r="AX9" s="217">
        <f t="shared" si="6"/>
        <v>4</v>
      </c>
      <c r="AY9" s="217">
        <f t="shared" si="7"/>
        <v>5</v>
      </c>
      <c r="AZ9" s="217">
        <f t="shared" si="8"/>
        <v>4</v>
      </c>
      <c r="BA9" s="217">
        <f t="shared" si="9"/>
        <v>3</v>
      </c>
      <c r="BB9" s="217">
        <f t="shared" si="10"/>
        <v>5</v>
      </c>
      <c r="BC9" s="217">
        <f t="shared" si="11"/>
        <v>68</v>
      </c>
      <c r="BD9" s="217"/>
      <c r="BE9" s="217">
        <f t="shared" si="12"/>
        <v>5</v>
      </c>
      <c r="BF9" s="217">
        <f t="shared" si="13"/>
        <v>5</v>
      </c>
      <c r="BG9" s="217">
        <f t="shared" si="14"/>
        <v>5</v>
      </c>
      <c r="BH9" s="217">
        <f t="shared" si="15"/>
        <v>5</v>
      </c>
      <c r="BI9" s="217">
        <f t="shared" si="16"/>
        <v>5</v>
      </c>
      <c r="BJ9" s="217">
        <f t="shared" si="17"/>
        <v>5</v>
      </c>
      <c r="BK9" s="217">
        <f t="shared" si="18"/>
        <v>75</v>
      </c>
    </row>
    <row r="10" spans="2:64" s="372" customFormat="1" ht="30" customHeight="1" x14ac:dyDescent="0.35">
      <c r="B10" s="373" t="s">
        <v>771</v>
      </c>
      <c r="C10" s="374" t="s">
        <v>772</v>
      </c>
      <c r="D10" s="375" t="s">
        <v>517</v>
      </c>
      <c r="E10" s="375" t="s">
        <v>364</v>
      </c>
      <c r="F10" s="376">
        <f>7+32/60+11/3600</f>
        <v>7.5363888888888884</v>
      </c>
      <c r="G10" s="376">
        <f>134+37/60+26/3600</f>
        <v>134.6238888888889</v>
      </c>
      <c r="H10" s="376">
        <f>7+22/60+38/3600</f>
        <v>7.3772222222222217</v>
      </c>
      <c r="I10" s="376">
        <f>134+33/60+19/3600</f>
        <v>134.5552777777778</v>
      </c>
      <c r="J10" s="375" t="s">
        <v>365</v>
      </c>
      <c r="K10" s="377">
        <v>2001</v>
      </c>
      <c r="L10" s="375" t="s">
        <v>311</v>
      </c>
      <c r="M10" s="378">
        <v>23185</v>
      </c>
      <c r="N10" s="379">
        <v>7.2</v>
      </c>
      <c r="O10" s="375">
        <v>2</v>
      </c>
      <c r="P10" s="375" t="s">
        <v>272</v>
      </c>
      <c r="Q10" s="375" t="s">
        <v>766</v>
      </c>
      <c r="R10" s="375" t="s">
        <v>270</v>
      </c>
      <c r="S10" s="380" t="s">
        <v>763</v>
      </c>
      <c r="T10" s="154">
        <v>5</v>
      </c>
      <c r="U10" s="154">
        <v>4</v>
      </c>
      <c r="V10" s="154">
        <v>5</v>
      </c>
      <c r="W10" s="154">
        <v>4</v>
      </c>
      <c r="X10" s="154">
        <v>3</v>
      </c>
      <c r="Y10" s="154">
        <v>5</v>
      </c>
      <c r="Z10" s="154">
        <f t="shared" si="19"/>
        <v>91</v>
      </c>
      <c r="AA10" s="405">
        <f t="shared" si="2"/>
        <v>11592500</v>
      </c>
      <c r="AB10" s="405">
        <f t="shared" si="3"/>
        <v>6955500</v>
      </c>
      <c r="AC10" s="407">
        <f t="shared" si="4"/>
        <v>104300</v>
      </c>
      <c r="AD10" s="343"/>
      <c r="AE10" s="343"/>
      <c r="AF10" s="343"/>
      <c r="AG10" s="343"/>
      <c r="AH10" s="382"/>
      <c r="AW10" s="217">
        <f t="shared" si="5"/>
        <v>5</v>
      </c>
      <c r="AX10" s="217">
        <f t="shared" si="6"/>
        <v>4</v>
      </c>
      <c r="AY10" s="217">
        <f t="shared" si="7"/>
        <v>5</v>
      </c>
      <c r="AZ10" s="217">
        <f t="shared" si="8"/>
        <v>4</v>
      </c>
      <c r="BA10" s="217">
        <f t="shared" si="9"/>
        <v>3</v>
      </c>
      <c r="BB10" s="217">
        <f t="shared" si="10"/>
        <v>5</v>
      </c>
      <c r="BC10" s="217">
        <f t="shared" si="11"/>
        <v>68</v>
      </c>
      <c r="BD10" s="217"/>
      <c r="BE10" s="217">
        <f t="shared" si="12"/>
        <v>5</v>
      </c>
      <c r="BF10" s="217">
        <f t="shared" si="13"/>
        <v>5</v>
      </c>
      <c r="BG10" s="217">
        <f t="shared" si="14"/>
        <v>5</v>
      </c>
      <c r="BH10" s="217">
        <f t="shared" si="15"/>
        <v>5</v>
      </c>
      <c r="BI10" s="217">
        <f t="shared" si="16"/>
        <v>5</v>
      </c>
      <c r="BJ10" s="217">
        <f t="shared" si="17"/>
        <v>5</v>
      </c>
      <c r="BK10" s="217">
        <f t="shared" si="18"/>
        <v>75</v>
      </c>
    </row>
    <row r="11" spans="2:64" s="372" customFormat="1" ht="30" customHeight="1" x14ac:dyDescent="0.35">
      <c r="B11" s="373" t="s">
        <v>773</v>
      </c>
      <c r="C11" s="374" t="s">
        <v>774</v>
      </c>
      <c r="D11" s="375" t="s">
        <v>517</v>
      </c>
      <c r="E11" s="375" t="s">
        <v>364</v>
      </c>
      <c r="F11" s="376">
        <f>7+32/60+11/3600</f>
        <v>7.5363888888888884</v>
      </c>
      <c r="G11" s="376">
        <f>134+37/60+26/3600</f>
        <v>134.6238888888889</v>
      </c>
      <c r="H11" s="376">
        <f>7+22/60+38/3600</f>
        <v>7.3772222222222217</v>
      </c>
      <c r="I11" s="376">
        <f>134+33/60+19/3600</f>
        <v>134.5552777777778</v>
      </c>
      <c r="J11" s="375" t="s">
        <v>365</v>
      </c>
      <c r="K11" s="377">
        <v>2001</v>
      </c>
      <c r="L11" s="375" t="s">
        <v>311</v>
      </c>
      <c r="M11" s="378">
        <v>23185</v>
      </c>
      <c r="N11" s="379">
        <v>7.2</v>
      </c>
      <c r="O11" s="375">
        <v>2</v>
      </c>
      <c r="P11" s="375" t="s">
        <v>272</v>
      </c>
      <c r="Q11" s="375" t="s">
        <v>766</v>
      </c>
      <c r="R11" s="375" t="s">
        <v>270</v>
      </c>
      <c r="S11" s="380" t="s">
        <v>763</v>
      </c>
      <c r="T11" s="154">
        <v>5</v>
      </c>
      <c r="U11" s="154">
        <v>4</v>
      </c>
      <c r="V11" s="154">
        <v>5</v>
      </c>
      <c r="W11" s="154">
        <v>4</v>
      </c>
      <c r="X11" s="154">
        <v>3</v>
      </c>
      <c r="Y11" s="154">
        <v>5</v>
      </c>
      <c r="Z11" s="154">
        <f t="shared" si="19"/>
        <v>91</v>
      </c>
      <c r="AA11" s="405">
        <f t="shared" si="2"/>
        <v>11592500</v>
      </c>
      <c r="AB11" s="405">
        <f t="shared" si="3"/>
        <v>6955500</v>
      </c>
      <c r="AC11" s="407">
        <f t="shared" si="4"/>
        <v>104300</v>
      </c>
      <c r="AD11" s="343"/>
      <c r="AE11" s="343"/>
      <c r="AF11" s="343"/>
      <c r="AG11" s="343"/>
      <c r="AH11" s="382"/>
      <c r="AW11" s="217">
        <f t="shared" si="5"/>
        <v>5</v>
      </c>
      <c r="AX11" s="217">
        <f t="shared" si="6"/>
        <v>4</v>
      </c>
      <c r="AY11" s="217">
        <f t="shared" si="7"/>
        <v>5</v>
      </c>
      <c r="AZ11" s="217">
        <f t="shared" si="8"/>
        <v>4</v>
      </c>
      <c r="BA11" s="217">
        <f t="shared" si="9"/>
        <v>3</v>
      </c>
      <c r="BB11" s="217">
        <f t="shared" si="10"/>
        <v>5</v>
      </c>
      <c r="BC11" s="217">
        <f t="shared" si="11"/>
        <v>68</v>
      </c>
      <c r="BD11" s="217"/>
      <c r="BE11" s="217">
        <f t="shared" si="12"/>
        <v>5</v>
      </c>
      <c r="BF11" s="217">
        <f t="shared" si="13"/>
        <v>5</v>
      </c>
      <c r="BG11" s="217">
        <f t="shared" si="14"/>
        <v>5</v>
      </c>
      <c r="BH11" s="217">
        <f t="shared" si="15"/>
        <v>5</v>
      </c>
      <c r="BI11" s="217">
        <f t="shared" si="16"/>
        <v>5</v>
      </c>
      <c r="BJ11" s="217">
        <f t="shared" si="17"/>
        <v>5</v>
      </c>
      <c r="BK11" s="217">
        <f t="shared" si="18"/>
        <v>75</v>
      </c>
    </row>
    <row r="12" spans="2:64" s="372" customFormat="1" ht="30" customHeight="1" x14ac:dyDescent="0.35">
      <c r="B12" s="373"/>
      <c r="C12" s="374"/>
      <c r="D12" s="375"/>
      <c r="E12" s="375"/>
      <c r="F12" s="376"/>
      <c r="G12" s="376"/>
      <c r="H12" s="376"/>
      <c r="I12" s="376"/>
      <c r="J12" s="375"/>
      <c r="K12" s="377"/>
      <c r="L12" s="375"/>
      <c r="M12" s="378"/>
      <c r="N12" s="379"/>
      <c r="O12" s="375"/>
      <c r="P12" s="375"/>
      <c r="Q12" s="375"/>
      <c r="R12" s="375"/>
      <c r="S12" s="380"/>
      <c r="T12" s="154"/>
      <c r="U12" s="154"/>
      <c r="V12" s="154"/>
      <c r="W12" s="154"/>
      <c r="X12" s="154"/>
      <c r="Y12" s="154"/>
      <c r="Z12" s="154"/>
      <c r="AA12" s="405">
        <f t="shared" si="2"/>
        <v>0</v>
      </c>
      <c r="AB12" s="405">
        <f t="shared" si="3"/>
        <v>0</v>
      </c>
      <c r="AC12" s="407">
        <f t="shared" si="4"/>
        <v>0</v>
      </c>
      <c r="AD12" s="343"/>
      <c r="AE12" s="343"/>
      <c r="AF12" s="343"/>
      <c r="AG12" s="343"/>
      <c r="AH12" s="382"/>
      <c r="AW12" s="217">
        <f t="shared" si="5"/>
        <v>0</v>
      </c>
      <c r="AX12" s="217">
        <f t="shared" si="6"/>
        <v>0</v>
      </c>
      <c r="AY12" s="217">
        <f t="shared" si="7"/>
        <v>0</v>
      </c>
      <c r="AZ12" s="217">
        <f t="shared" si="8"/>
        <v>0</v>
      </c>
      <c r="BA12" s="217">
        <f t="shared" si="9"/>
        <v>0</v>
      </c>
      <c r="BB12" s="217">
        <f t="shared" si="10"/>
        <v>0</v>
      </c>
      <c r="BC12" s="217">
        <f t="shared" si="11"/>
        <v>0</v>
      </c>
      <c r="BD12" s="217"/>
      <c r="BE12" s="217">
        <f t="shared" si="12"/>
        <v>0</v>
      </c>
      <c r="BF12" s="217">
        <f t="shared" si="13"/>
        <v>0</v>
      </c>
      <c r="BG12" s="217">
        <f t="shared" si="14"/>
        <v>0</v>
      </c>
      <c r="BH12" s="217">
        <f t="shared" si="15"/>
        <v>0</v>
      </c>
      <c r="BI12" s="217">
        <f t="shared" si="16"/>
        <v>0</v>
      </c>
      <c r="BJ12" s="217">
        <f t="shared" si="17"/>
        <v>0</v>
      </c>
      <c r="BK12" s="217">
        <f t="shared" si="18"/>
        <v>0</v>
      </c>
    </row>
    <row r="13" spans="2:64" s="372" customFormat="1" ht="30" customHeight="1" x14ac:dyDescent="0.35">
      <c r="B13" s="373" t="s">
        <v>1252</v>
      </c>
      <c r="C13" s="374" t="s">
        <v>1255</v>
      </c>
      <c r="D13" s="375" t="s">
        <v>1253</v>
      </c>
      <c r="E13" s="375" t="s">
        <v>1253</v>
      </c>
      <c r="F13" s="383">
        <f>8+4/60+56/3600</f>
        <v>8.0822222222222226</v>
      </c>
      <c r="G13" s="383">
        <f>134+43/60+3/3600</f>
        <v>134.7175</v>
      </c>
      <c r="H13" s="383">
        <f>8+4/60+56/3600</f>
        <v>8.0822222222222226</v>
      </c>
      <c r="I13" s="383">
        <f>134+43/60+3/3600</f>
        <v>134.7175</v>
      </c>
      <c r="J13" s="375" t="s">
        <v>277</v>
      </c>
      <c r="K13" s="377" t="s">
        <v>421</v>
      </c>
      <c r="L13" s="375" t="s">
        <v>311</v>
      </c>
      <c r="M13" s="378">
        <v>5750</v>
      </c>
      <c r="N13" s="379">
        <v>6</v>
      </c>
      <c r="O13" s="375">
        <v>2</v>
      </c>
      <c r="P13" s="375" t="s">
        <v>83</v>
      </c>
      <c r="Q13" s="375" t="s">
        <v>1156</v>
      </c>
      <c r="R13" s="375" t="s">
        <v>92</v>
      </c>
      <c r="S13" s="380" t="s">
        <v>92</v>
      </c>
      <c r="T13" s="154">
        <v>2</v>
      </c>
      <c r="U13" s="154">
        <v>2</v>
      </c>
      <c r="V13" s="154" t="s">
        <v>311</v>
      </c>
      <c r="W13" s="154">
        <v>3</v>
      </c>
      <c r="X13" s="154" t="s">
        <v>311</v>
      </c>
      <c r="Y13" s="154">
        <v>2</v>
      </c>
      <c r="Z13" s="154">
        <f t="shared" si="19"/>
        <v>42</v>
      </c>
      <c r="AA13" s="405">
        <f t="shared" si="2"/>
        <v>2875000</v>
      </c>
      <c r="AB13" s="405">
        <f t="shared" si="3"/>
        <v>1725000</v>
      </c>
      <c r="AC13" s="407">
        <f t="shared" si="4"/>
        <v>25900</v>
      </c>
      <c r="AD13" s="343"/>
      <c r="AE13" s="343"/>
      <c r="AF13" s="343"/>
      <c r="AG13" s="343"/>
      <c r="AH13" s="381">
        <f t="shared" ref="AH13" si="20">$M13*T$2</f>
        <v>1150000</v>
      </c>
      <c r="AI13" s="381">
        <f t="shared" ref="AI13" si="21">$M13*U$2</f>
        <v>1725000</v>
      </c>
      <c r="AJ13" s="381"/>
      <c r="AK13" s="381"/>
      <c r="AW13" s="217">
        <f t="shared" si="5"/>
        <v>2</v>
      </c>
      <c r="AX13" s="217">
        <f t="shared" si="6"/>
        <v>2</v>
      </c>
      <c r="AY13" s="217">
        <f t="shared" si="7"/>
        <v>0</v>
      </c>
      <c r="AZ13" s="217">
        <f t="shared" si="8"/>
        <v>3</v>
      </c>
      <c r="BA13" s="217">
        <f t="shared" si="9"/>
        <v>0</v>
      </c>
      <c r="BB13" s="217">
        <f t="shared" si="10"/>
        <v>2</v>
      </c>
      <c r="BC13" s="217">
        <f t="shared" si="11"/>
        <v>27</v>
      </c>
      <c r="BD13" s="217"/>
      <c r="BE13" s="217">
        <f t="shared" si="12"/>
        <v>5</v>
      </c>
      <c r="BF13" s="217">
        <f t="shared" si="13"/>
        <v>5</v>
      </c>
      <c r="BG13" s="217">
        <f t="shared" si="14"/>
        <v>0</v>
      </c>
      <c r="BH13" s="217">
        <f t="shared" si="15"/>
        <v>5</v>
      </c>
      <c r="BI13" s="217">
        <f t="shared" si="16"/>
        <v>0</v>
      </c>
      <c r="BJ13" s="217">
        <f t="shared" si="17"/>
        <v>5</v>
      </c>
      <c r="BK13" s="217">
        <f t="shared" si="18"/>
        <v>65</v>
      </c>
    </row>
    <row r="14" spans="2:64" s="372" customFormat="1" ht="30" customHeight="1" x14ac:dyDescent="0.35">
      <c r="B14" s="373" t="s">
        <v>1254</v>
      </c>
      <c r="C14" s="374" t="s">
        <v>1256</v>
      </c>
      <c r="D14" s="375" t="s">
        <v>1253</v>
      </c>
      <c r="E14" s="375" t="s">
        <v>1253</v>
      </c>
      <c r="F14" s="383">
        <f>8+5/60+9/3600</f>
        <v>8.0858333333333334</v>
      </c>
      <c r="G14" s="383">
        <f>134+42/60+59/3600</f>
        <v>134.71638888888887</v>
      </c>
      <c r="H14" s="383">
        <f>8+4/60+37/3600</f>
        <v>8.0769444444444449</v>
      </c>
      <c r="I14" s="383">
        <f>134+43/60+4/3600</f>
        <v>134.71777777777777</v>
      </c>
      <c r="J14" s="375" t="s">
        <v>277</v>
      </c>
      <c r="K14" s="377" t="s">
        <v>421</v>
      </c>
      <c r="L14" s="375" t="s">
        <v>311</v>
      </c>
      <c r="M14" s="378">
        <v>1120</v>
      </c>
      <c r="N14" s="379">
        <v>6</v>
      </c>
      <c r="O14" s="375">
        <v>2</v>
      </c>
      <c r="P14" s="375" t="s">
        <v>83</v>
      </c>
      <c r="Q14" s="375" t="s">
        <v>1156</v>
      </c>
      <c r="R14" s="375" t="s">
        <v>92</v>
      </c>
      <c r="S14" s="380" t="s">
        <v>92</v>
      </c>
      <c r="T14" s="154">
        <v>3</v>
      </c>
      <c r="U14" s="154">
        <v>2</v>
      </c>
      <c r="V14" s="154" t="s">
        <v>311</v>
      </c>
      <c r="W14" s="154">
        <v>3</v>
      </c>
      <c r="X14" s="154" t="s">
        <v>311</v>
      </c>
      <c r="Y14" s="154">
        <v>3</v>
      </c>
      <c r="Z14" s="154">
        <f t="shared" si="19"/>
        <v>54</v>
      </c>
      <c r="AA14" s="405">
        <f t="shared" si="2"/>
        <v>560000</v>
      </c>
      <c r="AB14" s="405">
        <f t="shared" si="3"/>
        <v>336000</v>
      </c>
      <c r="AC14" s="407">
        <f t="shared" si="4"/>
        <v>5000</v>
      </c>
      <c r="AD14" s="343"/>
      <c r="AE14" s="343"/>
      <c r="AF14" s="343"/>
      <c r="AG14" s="343"/>
      <c r="AH14" s="381"/>
      <c r="AI14" s="381">
        <f t="shared" ref="AI14:AI73" si="22">$M14*U$2</f>
        <v>336000</v>
      </c>
      <c r="AJ14" s="381"/>
      <c r="AK14" s="381"/>
      <c r="AW14" s="217">
        <f t="shared" si="5"/>
        <v>3</v>
      </c>
      <c r="AX14" s="217">
        <f t="shared" si="6"/>
        <v>2</v>
      </c>
      <c r="AY14" s="217">
        <f t="shared" si="7"/>
        <v>0</v>
      </c>
      <c r="AZ14" s="217">
        <f t="shared" si="8"/>
        <v>3</v>
      </c>
      <c r="BA14" s="217">
        <f t="shared" si="9"/>
        <v>0</v>
      </c>
      <c r="BB14" s="217">
        <f t="shared" si="10"/>
        <v>3</v>
      </c>
      <c r="BC14" s="217">
        <f t="shared" si="11"/>
        <v>35</v>
      </c>
      <c r="BD14" s="217"/>
      <c r="BE14" s="217">
        <f t="shared" si="12"/>
        <v>5</v>
      </c>
      <c r="BF14" s="217">
        <f t="shared" si="13"/>
        <v>5</v>
      </c>
      <c r="BG14" s="217">
        <f t="shared" si="14"/>
        <v>0</v>
      </c>
      <c r="BH14" s="217">
        <f t="shared" si="15"/>
        <v>5</v>
      </c>
      <c r="BI14" s="217">
        <f t="shared" si="16"/>
        <v>0</v>
      </c>
      <c r="BJ14" s="217">
        <f t="shared" si="17"/>
        <v>5</v>
      </c>
      <c r="BK14" s="217">
        <f t="shared" si="18"/>
        <v>65</v>
      </c>
    </row>
    <row r="15" spans="2:64" s="372" customFormat="1" ht="30" customHeight="1" x14ac:dyDescent="0.35">
      <c r="B15" s="373" t="s">
        <v>1257</v>
      </c>
      <c r="C15" s="374" t="s">
        <v>1258</v>
      </c>
      <c r="D15" s="375" t="s">
        <v>1253</v>
      </c>
      <c r="E15" s="375" t="s">
        <v>1253</v>
      </c>
      <c r="F15" s="383">
        <f>8+5/60+6/3600</f>
        <v>8.0850000000000009</v>
      </c>
      <c r="G15" s="383">
        <f>134+43/60+0/3600</f>
        <v>134.71666666666667</v>
      </c>
      <c r="H15" s="383">
        <f>8+5/60+13/3600</f>
        <v>8.0869444444444447</v>
      </c>
      <c r="I15" s="383">
        <f>134+43/60+14/3600</f>
        <v>134.72055555555556</v>
      </c>
      <c r="J15" s="375" t="s">
        <v>97</v>
      </c>
      <c r="K15" s="377" t="s">
        <v>421</v>
      </c>
      <c r="L15" s="375" t="s">
        <v>311</v>
      </c>
      <c r="M15" s="378">
        <v>500</v>
      </c>
      <c r="N15" s="379">
        <v>6</v>
      </c>
      <c r="O15" s="375">
        <v>2</v>
      </c>
      <c r="P15" s="375" t="s">
        <v>83</v>
      </c>
      <c r="Q15" s="375" t="s">
        <v>1156</v>
      </c>
      <c r="R15" s="375" t="s">
        <v>92</v>
      </c>
      <c r="S15" s="380" t="s">
        <v>92</v>
      </c>
      <c r="T15" s="154">
        <v>2</v>
      </c>
      <c r="U15" s="154">
        <v>2</v>
      </c>
      <c r="V15" s="154" t="s">
        <v>311</v>
      </c>
      <c r="W15" s="154">
        <v>3</v>
      </c>
      <c r="X15" s="154" t="s">
        <v>311</v>
      </c>
      <c r="Y15" s="154">
        <v>2</v>
      </c>
      <c r="Z15" s="154">
        <f t="shared" si="19"/>
        <v>42</v>
      </c>
      <c r="AA15" s="405">
        <f t="shared" si="2"/>
        <v>250000</v>
      </c>
      <c r="AB15" s="405">
        <f t="shared" si="3"/>
        <v>150000</v>
      </c>
      <c r="AC15" s="407">
        <f t="shared" si="4"/>
        <v>2300</v>
      </c>
      <c r="AD15" s="343"/>
      <c r="AE15" s="343"/>
      <c r="AF15" s="343"/>
      <c r="AG15" s="343"/>
      <c r="AH15" s="381"/>
      <c r="AI15" s="381">
        <f t="shared" si="22"/>
        <v>150000</v>
      </c>
      <c r="AJ15" s="381"/>
      <c r="AK15" s="381"/>
      <c r="AW15" s="217">
        <f t="shared" si="5"/>
        <v>2</v>
      </c>
      <c r="AX15" s="217">
        <f t="shared" si="6"/>
        <v>2</v>
      </c>
      <c r="AY15" s="217">
        <f t="shared" si="7"/>
        <v>0</v>
      </c>
      <c r="AZ15" s="217">
        <f t="shared" si="8"/>
        <v>3</v>
      </c>
      <c r="BA15" s="217">
        <f t="shared" si="9"/>
        <v>0</v>
      </c>
      <c r="BB15" s="217">
        <f t="shared" si="10"/>
        <v>2</v>
      </c>
      <c r="BC15" s="217">
        <f t="shared" si="11"/>
        <v>27</v>
      </c>
      <c r="BD15" s="217"/>
      <c r="BE15" s="217">
        <f t="shared" si="12"/>
        <v>5</v>
      </c>
      <c r="BF15" s="217">
        <f t="shared" si="13"/>
        <v>5</v>
      </c>
      <c r="BG15" s="217">
        <f t="shared" si="14"/>
        <v>0</v>
      </c>
      <c r="BH15" s="217">
        <f t="shared" si="15"/>
        <v>5</v>
      </c>
      <c r="BI15" s="217">
        <f t="shared" si="16"/>
        <v>0</v>
      </c>
      <c r="BJ15" s="217">
        <f t="shared" si="17"/>
        <v>5</v>
      </c>
      <c r="BK15" s="217">
        <f t="shared" si="18"/>
        <v>65</v>
      </c>
    </row>
    <row r="16" spans="2:64" s="372" customFormat="1" ht="30" customHeight="1" x14ac:dyDescent="0.35">
      <c r="B16" s="373" t="s">
        <v>1260</v>
      </c>
      <c r="C16" s="374" t="s">
        <v>1259</v>
      </c>
      <c r="D16" s="375" t="s">
        <v>1253</v>
      </c>
      <c r="E16" s="375" t="s">
        <v>1253</v>
      </c>
      <c r="F16" s="383">
        <f>8+4/60+57/3600</f>
        <v>8.0824999999999996</v>
      </c>
      <c r="G16" s="383">
        <f>134+43/60+2/3600</f>
        <v>134.71722222222223</v>
      </c>
      <c r="H16" s="383">
        <f>8+5/60+1/3600</f>
        <v>8.0836111111111109</v>
      </c>
      <c r="I16" s="383">
        <f>134+43/60+14/3600</f>
        <v>134.72055555555556</v>
      </c>
      <c r="J16" s="375" t="s">
        <v>97</v>
      </c>
      <c r="K16" s="377" t="s">
        <v>421</v>
      </c>
      <c r="L16" s="375" t="s">
        <v>311</v>
      </c>
      <c r="M16" s="378">
        <v>380</v>
      </c>
      <c r="N16" s="379">
        <v>6</v>
      </c>
      <c r="O16" s="375">
        <v>2</v>
      </c>
      <c r="P16" s="375" t="s">
        <v>83</v>
      </c>
      <c r="Q16" s="375" t="s">
        <v>1156</v>
      </c>
      <c r="R16" s="375" t="s">
        <v>92</v>
      </c>
      <c r="S16" s="380" t="s">
        <v>92</v>
      </c>
      <c r="T16" s="154">
        <v>3</v>
      </c>
      <c r="U16" s="154">
        <v>2</v>
      </c>
      <c r="V16" s="154" t="s">
        <v>311</v>
      </c>
      <c r="W16" s="154">
        <v>3</v>
      </c>
      <c r="X16" s="154" t="s">
        <v>311</v>
      </c>
      <c r="Y16" s="154">
        <v>3</v>
      </c>
      <c r="Z16" s="154">
        <f t="shared" si="19"/>
        <v>54</v>
      </c>
      <c r="AA16" s="405">
        <f t="shared" si="2"/>
        <v>190000</v>
      </c>
      <c r="AB16" s="405">
        <f t="shared" si="3"/>
        <v>114000</v>
      </c>
      <c r="AC16" s="407">
        <f t="shared" si="4"/>
        <v>1700</v>
      </c>
      <c r="AD16" s="343"/>
      <c r="AE16" s="343"/>
      <c r="AF16" s="343"/>
      <c r="AG16" s="343"/>
      <c r="AH16" s="381"/>
      <c r="AI16" s="381">
        <f t="shared" si="22"/>
        <v>114000</v>
      </c>
      <c r="AJ16" s="381"/>
      <c r="AK16" s="381"/>
      <c r="AW16" s="217">
        <f t="shared" si="5"/>
        <v>3</v>
      </c>
      <c r="AX16" s="217">
        <f t="shared" si="6"/>
        <v>2</v>
      </c>
      <c r="AY16" s="217">
        <f t="shared" si="7"/>
        <v>0</v>
      </c>
      <c r="AZ16" s="217">
        <f t="shared" si="8"/>
        <v>3</v>
      </c>
      <c r="BA16" s="217">
        <f t="shared" si="9"/>
        <v>0</v>
      </c>
      <c r="BB16" s="217">
        <f t="shared" si="10"/>
        <v>3</v>
      </c>
      <c r="BC16" s="217">
        <f t="shared" si="11"/>
        <v>35</v>
      </c>
      <c r="BD16" s="217"/>
      <c r="BE16" s="217">
        <f t="shared" si="12"/>
        <v>5</v>
      </c>
      <c r="BF16" s="217">
        <f t="shared" si="13"/>
        <v>5</v>
      </c>
      <c r="BG16" s="217">
        <f t="shared" si="14"/>
        <v>0</v>
      </c>
      <c r="BH16" s="217">
        <f t="shared" si="15"/>
        <v>5</v>
      </c>
      <c r="BI16" s="217">
        <f t="shared" si="16"/>
        <v>0</v>
      </c>
      <c r="BJ16" s="217">
        <f t="shared" si="17"/>
        <v>5</v>
      </c>
      <c r="BK16" s="217">
        <f t="shared" si="18"/>
        <v>65</v>
      </c>
    </row>
    <row r="17" spans="2:63" s="372" customFormat="1" ht="30" customHeight="1" x14ac:dyDescent="0.35">
      <c r="B17" s="373" t="s">
        <v>1261</v>
      </c>
      <c r="C17" s="374" t="s">
        <v>1262</v>
      </c>
      <c r="D17" s="375" t="s">
        <v>1253</v>
      </c>
      <c r="E17" s="375" t="s">
        <v>1253</v>
      </c>
      <c r="F17" s="383">
        <f>8+4/60+56/3600</f>
        <v>8.0822222222222226</v>
      </c>
      <c r="G17" s="383">
        <f>134+43/60+3/3600</f>
        <v>134.7175</v>
      </c>
      <c r="H17" s="383">
        <f>8+4/60+56/3600</f>
        <v>8.0822222222222226</v>
      </c>
      <c r="I17" s="383">
        <f>134+43/60+14/3600</f>
        <v>134.72055555555556</v>
      </c>
      <c r="J17" s="375" t="s">
        <v>97</v>
      </c>
      <c r="K17" s="377" t="s">
        <v>421</v>
      </c>
      <c r="L17" s="375" t="s">
        <v>311</v>
      </c>
      <c r="M17" s="378">
        <v>360</v>
      </c>
      <c r="N17" s="379">
        <v>6</v>
      </c>
      <c r="O17" s="375">
        <v>2</v>
      </c>
      <c r="P17" s="375" t="s">
        <v>83</v>
      </c>
      <c r="Q17" s="375" t="s">
        <v>1156</v>
      </c>
      <c r="R17" s="375" t="s">
        <v>92</v>
      </c>
      <c r="S17" s="380" t="s">
        <v>92</v>
      </c>
      <c r="T17" s="154">
        <v>3</v>
      </c>
      <c r="U17" s="154">
        <v>2</v>
      </c>
      <c r="V17" s="154" t="s">
        <v>311</v>
      </c>
      <c r="W17" s="154">
        <v>3</v>
      </c>
      <c r="X17" s="154" t="s">
        <v>311</v>
      </c>
      <c r="Y17" s="154">
        <v>3</v>
      </c>
      <c r="Z17" s="154">
        <f t="shared" si="19"/>
        <v>54</v>
      </c>
      <c r="AA17" s="405">
        <f t="shared" si="2"/>
        <v>180000</v>
      </c>
      <c r="AB17" s="405">
        <f t="shared" si="3"/>
        <v>108000</v>
      </c>
      <c r="AC17" s="407">
        <f t="shared" si="4"/>
        <v>1600</v>
      </c>
      <c r="AD17" s="343"/>
      <c r="AE17" s="343"/>
      <c r="AF17" s="343"/>
      <c r="AG17" s="343"/>
      <c r="AH17" s="381"/>
      <c r="AI17" s="381">
        <f t="shared" si="22"/>
        <v>108000</v>
      </c>
      <c r="AJ17" s="381"/>
      <c r="AK17" s="381"/>
      <c r="AW17" s="217">
        <f t="shared" si="5"/>
        <v>3</v>
      </c>
      <c r="AX17" s="217">
        <f t="shared" si="6"/>
        <v>2</v>
      </c>
      <c r="AY17" s="217">
        <f t="shared" si="7"/>
        <v>0</v>
      </c>
      <c r="AZ17" s="217">
        <f t="shared" si="8"/>
        <v>3</v>
      </c>
      <c r="BA17" s="217">
        <f t="shared" si="9"/>
        <v>0</v>
      </c>
      <c r="BB17" s="217">
        <f t="shared" si="10"/>
        <v>3</v>
      </c>
      <c r="BC17" s="217">
        <f t="shared" si="11"/>
        <v>35</v>
      </c>
      <c r="BD17" s="217"/>
      <c r="BE17" s="217">
        <f t="shared" si="12"/>
        <v>5</v>
      </c>
      <c r="BF17" s="217">
        <f t="shared" si="13"/>
        <v>5</v>
      </c>
      <c r="BG17" s="217">
        <f t="shared" si="14"/>
        <v>0</v>
      </c>
      <c r="BH17" s="217">
        <f t="shared" si="15"/>
        <v>5</v>
      </c>
      <c r="BI17" s="217">
        <f t="shared" si="16"/>
        <v>0</v>
      </c>
      <c r="BJ17" s="217">
        <f t="shared" si="17"/>
        <v>5</v>
      </c>
      <c r="BK17" s="217">
        <f t="shared" si="18"/>
        <v>65</v>
      </c>
    </row>
    <row r="18" spans="2:63" s="372" customFormat="1" ht="30" customHeight="1" x14ac:dyDescent="0.35">
      <c r="B18" s="373" t="s">
        <v>1264</v>
      </c>
      <c r="C18" s="374" t="s">
        <v>1263</v>
      </c>
      <c r="D18" s="375" t="s">
        <v>1253</v>
      </c>
      <c r="E18" s="375" t="s">
        <v>1253</v>
      </c>
      <c r="F18" s="383">
        <f>8+4/60+44/3600</f>
        <v>8.0788888888888888</v>
      </c>
      <c r="G18" s="383">
        <f>134+43/60+5/3600</f>
        <v>134.71805555555557</v>
      </c>
      <c r="H18" s="383">
        <f>8+4/60+47/3600</f>
        <v>8.0797222222222214</v>
      </c>
      <c r="I18" s="383">
        <f>134+43/60+14/3600</f>
        <v>134.72055555555556</v>
      </c>
      <c r="J18" s="375" t="s">
        <v>97</v>
      </c>
      <c r="K18" s="377" t="s">
        <v>421</v>
      </c>
      <c r="L18" s="375" t="s">
        <v>311</v>
      </c>
      <c r="M18" s="378">
        <v>320</v>
      </c>
      <c r="N18" s="379">
        <v>6</v>
      </c>
      <c r="O18" s="375">
        <v>2</v>
      </c>
      <c r="P18" s="375" t="s">
        <v>83</v>
      </c>
      <c r="Q18" s="375" t="s">
        <v>1156</v>
      </c>
      <c r="R18" s="375" t="s">
        <v>92</v>
      </c>
      <c r="S18" s="380" t="s">
        <v>92</v>
      </c>
      <c r="T18" s="154">
        <v>3</v>
      </c>
      <c r="U18" s="154">
        <v>2</v>
      </c>
      <c r="V18" s="154" t="s">
        <v>311</v>
      </c>
      <c r="W18" s="154">
        <v>3</v>
      </c>
      <c r="X18" s="154" t="s">
        <v>311</v>
      </c>
      <c r="Y18" s="154">
        <v>2</v>
      </c>
      <c r="Z18" s="154">
        <f t="shared" si="19"/>
        <v>48</v>
      </c>
      <c r="AA18" s="405">
        <f t="shared" si="2"/>
        <v>160000</v>
      </c>
      <c r="AB18" s="405">
        <f t="shared" si="3"/>
        <v>96000</v>
      </c>
      <c r="AC18" s="407">
        <f t="shared" si="4"/>
        <v>1400</v>
      </c>
      <c r="AD18" s="343"/>
      <c r="AE18" s="343"/>
      <c r="AF18" s="343"/>
      <c r="AG18" s="343"/>
      <c r="AH18" s="381"/>
      <c r="AI18" s="381">
        <f t="shared" si="22"/>
        <v>96000</v>
      </c>
      <c r="AJ18" s="381"/>
      <c r="AK18" s="381"/>
      <c r="AW18" s="217">
        <f t="shared" si="5"/>
        <v>3</v>
      </c>
      <c r="AX18" s="217">
        <f t="shared" si="6"/>
        <v>2</v>
      </c>
      <c r="AY18" s="217">
        <f t="shared" si="7"/>
        <v>0</v>
      </c>
      <c r="AZ18" s="217">
        <f t="shared" si="8"/>
        <v>3</v>
      </c>
      <c r="BA18" s="217">
        <f t="shared" si="9"/>
        <v>0</v>
      </c>
      <c r="BB18" s="217">
        <f t="shared" si="10"/>
        <v>2</v>
      </c>
      <c r="BC18" s="217">
        <f t="shared" si="11"/>
        <v>31</v>
      </c>
      <c r="BD18" s="217"/>
      <c r="BE18" s="217">
        <f t="shared" si="12"/>
        <v>5</v>
      </c>
      <c r="BF18" s="217">
        <f t="shared" si="13"/>
        <v>5</v>
      </c>
      <c r="BG18" s="217">
        <f t="shared" si="14"/>
        <v>0</v>
      </c>
      <c r="BH18" s="217">
        <f t="shared" si="15"/>
        <v>5</v>
      </c>
      <c r="BI18" s="217">
        <f t="shared" si="16"/>
        <v>0</v>
      </c>
      <c r="BJ18" s="217">
        <f t="shared" si="17"/>
        <v>5</v>
      </c>
      <c r="BK18" s="217">
        <f t="shared" si="18"/>
        <v>65</v>
      </c>
    </row>
    <row r="19" spans="2:63" s="372" customFormat="1" ht="30" customHeight="1" x14ac:dyDescent="0.35">
      <c r="B19" s="373" t="s">
        <v>1265</v>
      </c>
      <c r="C19" s="374" t="s">
        <v>1266</v>
      </c>
      <c r="D19" s="375" t="s">
        <v>1253</v>
      </c>
      <c r="E19" s="375" t="s">
        <v>1253</v>
      </c>
      <c r="F19" s="383">
        <f>8+4/60+38/3600</f>
        <v>8.0772222222222219</v>
      </c>
      <c r="G19" s="383">
        <f>134+43/60+4/3600</f>
        <v>134.71777777777777</v>
      </c>
      <c r="H19" s="383">
        <f>8+4/60+34/3600</f>
        <v>8.0761111111111106</v>
      </c>
      <c r="I19" s="383">
        <f>134+43/60+11/3600</f>
        <v>134.71972222222223</v>
      </c>
      <c r="J19" s="375" t="s">
        <v>97</v>
      </c>
      <c r="K19" s="377" t="s">
        <v>421</v>
      </c>
      <c r="L19" s="375" t="s">
        <v>311</v>
      </c>
      <c r="M19" s="378">
        <v>240</v>
      </c>
      <c r="N19" s="379">
        <v>6</v>
      </c>
      <c r="O19" s="375">
        <v>2</v>
      </c>
      <c r="P19" s="375" t="s">
        <v>83</v>
      </c>
      <c r="Q19" s="375" t="s">
        <v>1156</v>
      </c>
      <c r="R19" s="375" t="s">
        <v>92</v>
      </c>
      <c r="S19" s="380" t="s">
        <v>92</v>
      </c>
      <c r="T19" s="154">
        <v>2</v>
      </c>
      <c r="U19" s="154">
        <v>2</v>
      </c>
      <c r="V19" s="154" t="s">
        <v>311</v>
      </c>
      <c r="W19" s="154">
        <v>3</v>
      </c>
      <c r="X19" s="154" t="s">
        <v>311</v>
      </c>
      <c r="Y19" s="154">
        <v>2</v>
      </c>
      <c r="Z19" s="154">
        <f t="shared" si="19"/>
        <v>42</v>
      </c>
      <c r="AA19" s="405">
        <f t="shared" si="2"/>
        <v>120000</v>
      </c>
      <c r="AB19" s="405">
        <f t="shared" si="3"/>
        <v>72000</v>
      </c>
      <c r="AC19" s="407">
        <f t="shared" si="4"/>
        <v>1100</v>
      </c>
      <c r="AD19" s="343"/>
      <c r="AE19" s="343"/>
      <c r="AF19" s="343"/>
      <c r="AG19" s="343"/>
      <c r="AH19" s="381">
        <f t="shared" ref="AH19:AH22" si="23">$M19*T$2</f>
        <v>48000</v>
      </c>
      <c r="AI19" s="381">
        <f t="shared" si="22"/>
        <v>72000</v>
      </c>
      <c r="AJ19" s="381"/>
      <c r="AK19" s="381"/>
      <c r="AW19" s="217">
        <f t="shared" si="5"/>
        <v>2</v>
      </c>
      <c r="AX19" s="217">
        <f t="shared" si="6"/>
        <v>2</v>
      </c>
      <c r="AY19" s="217">
        <f t="shared" si="7"/>
        <v>0</v>
      </c>
      <c r="AZ19" s="217">
        <f t="shared" si="8"/>
        <v>3</v>
      </c>
      <c r="BA19" s="217">
        <f t="shared" si="9"/>
        <v>0</v>
      </c>
      <c r="BB19" s="217">
        <f t="shared" si="10"/>
        <v>2</v>
      </c>
      <c r="BC19" s="217">
        <f t="shared" si="11"/>
        <v>27</v>
      </c>
      <c r="BD19" s="217"/>
      <c r="BE19" s="217">
        <f t="shared" si="12"/>
        <v>5</v>
      </c>
      <c r="BF19" s="217">
        <f t="shared" si="13"/>
        <v>5</v>
      </c>
      <c r="BG19" s="217">
        <f t="shared" si="14"/>
        <v>0</v>
      </c>
      <c r="BH19" s="217">
        <f t="shared" si="15"/>
        <v>5</v>
      </c>
      <c r="BI19" s="217">
        <f t="shared" si="16"/>
        <v>0</v>
      </c>
      <c r="BJ19" s="217">
        <f t="shared" si="17"/>
        <v>5</v>
      </c>
      <c r="BK19" s="217">
        <f t="shared" si="18"/>
        <v>65</v>
      </c>
    </row>
    <row r="20" spans="2:63" s="372" customFormat="1" ht="30" customHeight="1" x14ac:dyDescent="0.35">
      <c r="B20" s="373" t="s">
        <v>1267</v>
      </c>
      <c r="C20" s="374" t="s">
        <v>1268</v>
      </c>
      <c r="D20" s="375" t="s">
        <v>1253</v>
      </c>
      <c r="E20" s="375" t="s">
        <v>1253</v>
      </c>
      <c r="F20" s="383">
        <f>8+4/60+32/3600</f>
        <v>8.0755555555555549</v>
      </c>
      <c r="G20" s="383">
        <f>134+43/60+1/3600</f>
        <v>134.71694444444444</v>
      </c>
      <c r="H20" s="383">
        <f>8+4/60+29/3600</f>
        <v>8.0747222222222224</v>
      </c>
      <c r="I20" s="383">
        <f>134+43/60+8/3600</f>
        <v>134.7188888888889</v>
      </c>
      <c r="J20" s="375" t="s">
        <v>97</v>
      </c>
      <c r="K20" s="377" t="s">
        <v>421</v>
      </c>
      <c r="L20" s="375" t="s">
        <v>311</v>
      </c>
      <c r="M20" s="378">
        <v>215</v>
      </c>
      <c r="N20" s="379">
        <v>6</v>
      </c>
      <c r="O20" s="375">
        <v>2</v>
      </c>
      <c r="P20" s="375" t="s">
        <v>83</v>
      </c>
      <c r="Q20" s="375" t="s">
        <v>1156</v>
      </c>
      <c r="R20" s="375" t="s">
        <v>92</v>
      </c>
      <c r="S20" s="380" t="s">
        <v>92</v>
      </c>
      <c r="T20" s="154">
        <v>2</v>
      </c>
      <c r="U20" s="154">
        <v>2</v>
      </c>
      <c r="V20" s="154" t="s">
        <v>311</v>
      </c>
      <c r="W20" s="154">
        <v>3</v>
      </c>
      <c r="X20" s="154" t="s">
        <v>311</v>
      </c>
      <c r="Y20" s="154">
        <v>2</v>
      </c>
      <c r="Z20" s="154">
        <f t="shared" si="19"/>
        <v>42</v>
      </c>
      <c r="AA20" s="405">
        <f t="shared" si="2"/>
        <v>107500</v>
      </c>
      <c r="AB20" s="405">
        <f t="shared" si="3"/>
        <v>64500</v>
      </c>
      <c r="AC20" s="407">
        <f t="shared" si="4"/>
        <v>1000</v>
      </c>
      <c r="AD20" s="343"/>
      <c r="AE20" s="343"/>
      <c r="AF20" s="343"/>
      <c r="AG20" s="343"/>
      <c r="AH20" s="381">
        <f t="shared" si="23"/>
        <v>43000</v>
      </c>
      <c r="AI20" s="381">
        <f t="shared" si="22"/>
        <v>64500</v>
      </c>
      <c r="AJ20" s="381"/>
      <c r="AK20" s="381"/>
      <c r="AW20" s="217">
        <f t="shared" si="5"/>
        <v>2</v>
      </c>
      <c r="AX20" s="217">
        <f t="shared" si="6"/>
        <v>2</v>
      </c>
      <c r="AY20" s="217">
        <f t="shared" si="7"/>
        <v>0</v>
      </c>
      <c r="AZ20" s="217">
        <f t="shared" si="8"/>
        <v>3</v>
      </c>
      <c r="BA20" s="217">
        <f t="shared" si="9"/>
        <v>0</v>
      </c>
      <c r="BB20" s="217">
        <f t="shared" si="10"/>
        <v>2</v>
      </c>
      <c r="BC20" s="217">
        <f t="shared" si="11"/>
        <v>27</v>
      </c>
      <c r="BD20" s="217"/>
      <c r="BE20" s="217">
        <f t="shared" si="12"/>
        <v>5</v>
      </c>
      <c r="BF20" s="217">
        <f t="shared" si="13"/>
        <v>5</v>
      </c>
      <c r="BG20" s="217">
        <f t="shared" si="14"/>
        <v>0</v>
      </c>
      <c r="BH20" s="217">
        <f t="shared" si="15"/>
        <v>5</v>
      </c>
      <c r="BI20" s="217">
        <f t="shared" si="16"/>
        <v>0</v>
      </c>
      <c r="BJ20" s="217">
        <f t="shared" si="17"/>
        <v>5</v>
      </c>
      <c r="BK20" s="217">
        <f t="shared" si="18"/>
        <v>65</v>
      </c>
    </row>
    <row r="21" spans="2:63" s="372" customFormat="1" ht="30" customHeight="1" x14ac:dyDescent="0.35">
      <c r="B21" s="373"/>
      <c r="C21" s="374"/>
      <c r="D21" s="375"/>
      <c r="E21" s="375"/>
      <c r="F21" s="383"/>
      <c r="G21" s="383"/>
      <c r="H21" s="383"/>
      <c r="I21" s="383"/>
      <c r="J21" s="375"/>
      <c r="K21" s="377"/>
      <c r="L21" s="375"/>
      <c r="M21" s="378"/>
      <c r="N21" s="379"/>
      <c r="O21" s="375"/>
      <c r="P21" s="375"/>
      <c r="Q21" s="375"/>
      <c r="R21" s="375"/>
      <c r="S21" s="380"/>
      <c r="T21" s="154"/>
      <c r="U21" s="154"/>
      <c r="V21" s="154"/>
      <c r="W21" s="154"/>
      <c r="X21" s="154"/>
      <c r="Y21" s="154"/>
      <c r="Z21" s="154"/>
      <c r="AA21" s="405">
        <f t="shared" si="2"/>
        <v>0</v>
      </c>
      <c r="AB21" s="405">
        <f t="shared" si="3"/>
        <v>0</v>
      </c>
      <c r="AC21" s="407">
        <f t="shared" si="4"/>
        <v>0</v>
      </c>
      <c r="AD21" s="343"/>
      <c r="AE21" s="343"/>
      <c r="AF21" s="343"/>
      <c r="AG21" s="343"/>
      <c r="AH21" s="381"/>
      <c r="AI21" s="381">
        <f t="shared" si="22"/>
        <v>0</v>
      </c>
      <c r="AJ21" s="381"/>
      <c r="AK21" s="381"/>
      <c r="AW21" s="217">
        <f t="shared" si="5"/>
        <v>0</v>
      </c>
      <c r="AX21" s="217">
        <f t="shared" si="6"/>
        <v>0</v>
      </c>
      <c r="AY21" s="217">
        <f t="shared" si="7"/>
        <v>0</v>
      </c>
      <c r="AZ21" s="217">
        <f t="shared" si="8"/>
        <v>0</v>
      </c>
      <c r="BA21" s="217">
        <f t="shared" si="9"/>
        <v>0</v>
      </c>
      <c r="BB21" s="217">
        <f t="shared" si="10"/>
        <v>0</v>
      </c>
      <c r="BC21" s="217">
        <f t="shared" si="11"/>
        <v>0</v>
      </c>
      <c r="BD21" s="217"/>
      <c r="BE21" s="217">
        <f t="shared" si="12"/>
        <v>0</v>
      </c>
      <c r="BF21" s="217">
        <f t="shared" si="13"/>
        <v>0</v>
      </c>
      <c r="BG21" s="217">
        <f t="shared" si="14"/>
        <v>0</v>
      </c>
      <c r="BH21" s="217">
        <f t="shared" si="15"/>
        <v>0</v>
      </c>
      <c r="BI21" s="217">
        <f t="shared" si="16"/>
        <v>0</v>
      </c>
      <c r="BJ21" s="217">
        <f t="shared" si="17"/>
        <v>0</v>
      </c>
      <c r="BK21" s="217">
        <f t="shared" si="18"/>
        <v>0</v>
      </c>
    </row>
    <row r="22" spans="2:63" s="372" customFormat="1" ht="30" customHeight="1" x14ac:dyDescent="0.35">
      <c r="B22" s="373" t="s">
        <v>422</v>
      </c>
      <c r="C22" s="374" t="s">
        <v>423</v>
      </c>
      <c r="D22" s="375" t="s">
        <v>424</v>
      </c>
      <c r="E22" s="375" t="s">
        <v>424</v>
      </c>
      <c r="F22" s="383">
        <f>7+43.15578/60</f>
        <v>7.7192629999999998</v>
      </c>
      <c r="G22" s="383">
        <f>134+36.51123/60</f>
        <v>134.6085205</v>
      </c>
      <c r="H22" s="383">
        <f>7+43/60+9/3600</f>
        <v>7.7191666666666672</v>
      </c>
      <c r="I22" s="383">
        <f>134+36/60+39/3600</f>
        <v>134.61083333333332</v>
      </c>
      <c r="J22" s="375" t="s">
        <v>277</v>
      </c>
      <c r="K22" s="377">
        <v>1986</v>
      </c>
      <c r="L22" s="375" t="s">
        <v>311</v>
      </c>
      <c r="M22" s="378">
        <v>270</v>
      </c>
      <c r="N22" s="379">
        <v>7</v>
      </c>
      <c r="O22" s="375">
        <v>2</v>
      </c>
      <c r="P22" s="375" t="s">
        <v>83</v>
      </c>
      <c r="Q22" s="375" t="s">
        <v>275</v>
      </c>
      <c r="R22" s="375" t="s">
        <v>92</v>
      </c>
      <c r="S22" s="380" t="s">
        <v>92</v>
      </c>
      <c r="T22" s="154">
        <v>2</v>
      </c>
      <c r="U22" s="154">
        <v>2</v>
      </c>
      <c r="V22" s="154" t="s">
        <v>311</v>
      </c>
      <c r="W22" s="154">
        <v>3</v>
      </c>
      <c r="X22" s="154" t="s">
        <v>311</v>
      </c>
      <c r="Y22" s="154">
        <v>3</v>
      </c>
      <c r="Z22" s="154">
        <f t="shared" si="19"/>
        <v>48</v>
      </c>
      <c r="AA22" s="405">
        <f t="shared" si="2"/>
        <v>135000</v>
      </c>
      <c r="AB22" s="405">
        <f t="shared" si="3"/>
        <v>81000</v>
      </c>
      <c r="AC22" s="407">
        <f t="shared" si="4"/>
        <v>1200</v>
      </c>
      <c r="AD22" s="343"/>
      <c r="AE22" s="343"/>
      <c r="AF22" s="343"/>
      <c r="AG22" s="343"/>
      <c r="AH22" s="381">
        <f t="shared" si="23"/>
        <v>54000</v>
      </c>
      <c r="AI22" s="381">
        <f t="shared" si="22"/>
        <v>81000</v>
      </c>
      <c r="AJ22" s="381"/>
      <c r="AK22" s="381"/>
      <c r="AW22" s="217">
        <f t="shared" si="5"/>
        <v>2</v>
      </c>
      <c r="AX22" s="217">
        <f t="shared" si="6"/>
        <v>2</v>
      </c>
      <c r="AY22" s="217">
        <f t="shared" si="7"/>
        <v>0</v>
      </c>
      <c r="AZ22" s="217">
        <f t="shared" si="8"/>
        <v>3</v>
      </c>
      <c r="BA22" s="217">
        <f t="shared" si="9"/>
        <v>0</v>
      </c>
      <c r="BB22" s="217">
        <f t="shared" si="10"/>
        <v>3</v>
      </c>
      <c r="BC22" s="217">
        <f t="shared" si="11"/>
        <v>31</v>
      </c>
      <c r="BD22" s="217"/>
      <c r="BE22" s="217">
        <f t="shared" si="12"/>
        <v>5</v>
      </c>
      <c r="BF22" s="217">
        <f t="shared" si="13"/>
        <v>5</v>
      </c>
      <c r="BG22" s="217">
        <f t="shared" si="14"/>
        <v>0</v>
      </c>
      <c r="BH22" s="217">
        <f t="shared" si="15"/>
        <v>5</v>
      </c>
      <c r="BI22" s="217">
        <f t="shared" si="16"/>
        <v>0</v>
      </c>
      <c r="BJ22" s="217">
        <f t="shared" si="17"/>
        <v>5</v>
      </c>
      <c r="BK22" s="217">
        <f t="shared" si="18"/>
        <v>65</v>
      </c>
    </row>
    <row r="23" spans="2:63" s="372" customFormat="1" ht="30" customHeight="1" x14ac:dyDescent="0.35">
      <c r="B23" s="373" t="s">
        <v>425</v>
      </c>
      <c r="C23" s="374" t="s">
        <v>426</v>
      </c>
      <c r="D23" s="375" t="s">
        <v>424</v>
      </c>
      <c r="E23" s="375" t="s">
        <v>462</v>
      </c>
      <c r="F23" s="383">
        <f>7+43.12451/60</f>
        <v>7.7187418333333335</v>
      </c>
      <c r="G23" s="383">
        <f>134+56.67511/60</f>
        <v>134.94458516666666</v>
      </c>
      <c r="H23" s="383">
        <f>7+41/60+53/3600</f>
        <v>7.6980555555555554</v>
      </c>
      <c r="I23" s="383">
        <f>134+37/60+47/3600</f>
        <v>134.62972222222223</v>
      </c>
      <c r="J23" s="375" t="s">
        <v>99</v>
      </c>
      <c r="K23" s="377">
        <v>1986</v>
      </c>
      <c r="L23" s="377">
        <v>2001</v>
      </c>
      <c r="M23" s="378">
        <v>4020</v>
      </c>
      <c r="N23" s="379">
        <v>7.3</v>
      </c>
      <c r="O23" s="375">
        <v>2</v>
      </c>
      <c r="P23" s="375" t="s">
        <v>272</v>
      </c>
      <c r="Q23" s="375" t="s">
        <v>275</v>
      </c>
      <c r="R23" s="375" t="s">
        <v>291</v>
      </c>
      <c r="S23" s="380" t="s">
        <v>271</v>
      </c>
      <c r="T23" s="154">
        <v>5</v>
      </c>
      <c r="U23" s="154">
        <v>4</v>
      </c>
      <c r="V23" s="154">
        <v>3</v>
      </c>
      <c r="W23" s="154">
        <v>4</v>
      </c>
      <c r="X23" s="154">
        <v>4</v>
      </c>
      <c r="Y23" s="154">
        <v>5</v>
      </c>
      <c r="Z23" s="154">
        <f t="shared" si="19"/>
        <v>90</v>
      </c>
      <c r="AA23" s="405">
        <f t="shared" si="2"/>
        <v>2010000</v>
      </c>
      <c r="AB23" s="405">
        <f t="shared" si="3"/>
        <v>1206000</v>
      </c>
      <c r="AC23" s="407">
        <f t="shared" si="4"/>
        <v>18100</v>
      </c>
      <c r="AD23" s="343"/>
      <c r="AE23" s="343"/>
      <c r="AF23" s="343"/>
      <c r="AG23" s="343"/>
      <c r="AH23" s="381"/>
      <c r="AI23" s="381"/>
      <c r="AJ23" s="381"/>
      <c r="AK23" s="381"/>
      <c r="AW23" s="217">
        <f t="shared" si="5"/>
        <v>5</v>
      </c>
      <c r="AX23" s="217">
        <f t="shared" si="6"/>
        <v>4</v>
      </c>
      <c r="AY23" s="217">
        <f t="shared" si="7"/>
        <v>3</v>
      </c>
      <c r="AZ23" s="217">
        <f t="shared" si="8"/>
        <v>4</v>
      </c>
      <c r="BA23" s="217">
        <f t="shared" si="9"/>
        <v>4</v>
      </c>
      <c r="BB23" s="217">
        <f t="shared" si="10"/>
        <v>5</v>
      </c>
      <c r="BC23" s="217">
        <f t="shared" si="11"/>
        <v>67</v>
      </c>
      <c r="BD23" s="217"/>
      <c r="BE23" s="217">
        <f t="shared" si="12"/>
        <v>5</v>
      </c>
      <c r="BF23" s="217">
        <f t="shared" si="13"/>
        <v>5</v>
      </c>
      <c r="BG23" s="217">
        <f t="shared" si="14"/>
        <v>5</v>
      </c>
      <c r="BH23" s="217">
        <f t="shared" si="15"/>
        <v>5</v>
      </c>
      <c r="BI23" s="217">
        <f t="shared" si="16"/>
        <v>5</v>
      </c>
      <c r="BJ23" s="217">
        <f t="shared" si="17"/>
        <v>5</v>
      </c>
      <c r="BK23" s="217">
        <f t="shared" si="18"/>
        <v>75</v>
      </c>
    </row>
    <row r="24" spans="2:63" s="372" customFormat="1" ht="30" customHeight="1" x14ac:dyDescent="0.35">
      <c r="B24" s="373" t="s">
        <v>458</v>
      </c>
      <c r="C24" s="374" t="s">
        <v>967</v>
      </c>
      <c r="D24" s="375" t="s">
        <v>462</v>
      </c>
      <c r="E24" s="375" t="s">
        <v>462</v>
      </c>
      <c r="F24" s="383">
        <f>7+41/60+48/3600</f>
        <v>7.6966666666666672</v>
      </c>
      <c r="G24" s="383">
        <f>134+37/60+50/3600</f>
        <v>134.63055555555556</v>
      </c>
      <c r="H24" s="383">
        <f>7+41/60+53/3600</f>
        <v>7.6980555555555554</v>
      </c>
      <c r="I24" s="383">
        <f>134+37/60+57/3600</f>
        <v>134.63250000000002</v>
      </c>
      <c r="J24" s="375" t="s">
        <v>277</v>
      </c>
      <c r="K24" s="377">
        <v>1986</v>
      </c>
      <c r="L24" s="375">
        <v>2004</v>
      </c>
      <c r="M24" s="378">
        <v>305</v>
      </c>
      <c r="N24" s="379">
        <v>7.3</v>
      </c>
      <c r="O24" s="375">
        <v>2</v>
      </c>
      <c r="P24" s="375" t="s">
        <v>272</v>
      </c>
      <c r="Q24" s="375" t="s">
        <v>275</v>
      </c>
      <c r="R24" s="375" t="s">
        <v>291</v>
      </c>
      <c r="S24" s="380" t="s">
        <v>271</v>
      </c>
      <c r="T24" s="154">
        <v>5</v>
      </c>
      <c r="U24" s="154">
        <v>5</v>
      </c>
      <c r="V24" s="154">
        <v>4</v>
      </c>
      <c r="W24" s="154">
        <v>5</v>
      </c>
      <c r="X24" s="154">
        <v>5</v>
      </c>
      <c r="Y24" s="154">
        <v>5</v>
      </c>
      <c r="Z24" s="154">
        <f t="shared" si="19"/>
        <v>99</v>
      </c>
      <c r="AA24" s="405">
        <f t="shared" si="2"/>
        <v>152500</v>
      </c>
      <c r="AB24" s="405">
        <f t="shared" si="3"/>
        <v>91500</v>
      </c>
      <c r="AC24" s="407">
        <f t="shared" si="4"/>
        <v>1400</v>
      </c>
      <c r="AD24" s="343"/>
      <c r="AE24" s="343"/>
      <c r="AF24" s="343"/>
      <c r="AG24" s="343"/>
      <c r="AH24" s="381"/>
      <c r="AI24" s="381"/>
      <c r="AJ24" s="381"/>
      <c r="AK24" s="381"/>
      <c r="AW24" s="217">
        <f t="shared" si="5"/>
        <v>5</v>
      </c>
      <c r="AX24" s="217">
        <f t="shared" si="6"/>
        <v>5</v>
      </c>
      <c r="AY24" s="217">
        <f t="shared" si="7"/>
        <v>4</v>
      </c>
      <c r="AZ24" s="217">
        <f t="shared" si="8"/>
        <v>5</v>
      </c>
      <c r="BA24" s="217">
        <f t="shared" si="9"/>
        <v>5</v>
      </c>
      <c r="BB24" s="217">
        <f t="shared" si="10"/>
        <v>5</v>
      </c>
      <c r="BC24" s="217">
        <f t="shared" si="11"/>
        <v>74</v>
      </c>
      <c r="BD24" s="217"/>
      <c r="BE24" s="217">
        <f t="shared" si="12"/>
        <v>5</v>
      </c>
      <c r="BF24" s="217">
        <f t="shared" si="13"/>
        <v>5</v>
      </c>
      <c r="BG24" s="217">
        <f t="shared" si="14"/>
        <v>5</v>
      </c>
      <c r="BH24" s="217">
        <f t="shared" si="15"/>
        <v>5</v>
      </c>
      <c r="BI24" s="217">
        <f t="shared" si="16"/>
        <v>5</v>
      </c>
      <c r="BJ24" s="217">
        <f t="shared" si="17"/>
        <v>5</v>
      </c>
      <c r="BK24" s="217">
        <f t="shared" si="18"/>
        <v>75</v>
      </c>
    </row>
    <row r="25" spans="2:63" s="372" customFormat="1" ht="30" customHeight="1" x14ac:dyDescent="0.35">
      <c r="B25" s="373" t="s">
        <v>459</v>
      </c>
      <c r="C25" s="374" t="s">
        <v>968</v>
      </c>
      <c r="D25" s="375" t="s">
        <v>462</v>
      </c>
      <c r="E25" s="375" t="s">
        <v>462</v>
      </c>
      <c r="F25" s="383">
        <f>7+41/60+53/3600</f>
        <v>7.6980555555555554</v>
      </c>
      <c r="G25" s="383">
        <f>134+37/60+57/3600</f>
        <v>134.63250000000002</v>
      </c>
      <c r="H25" s="383">
        <f>7+41/60+57/3600</f>
        <v>7.6991666666666667</v>
      </c>
      <c r="I25" s="383">
        <f>134+38/60+7/3600</f>
        <v>134.63527777777776</v>
      </c>
      <c r="J25" s="375" t="s">
        <v>277</v>
      </c>
      <c r="K25" s="377">
        <v>1986</v>
      </c>
      <c r="L25" s="375">
        <v>2005</v>
      </c>
      <c r="M25" s="378">
        <v>350</v>
      </c>
      <c r="N25" s="379">
        <v>6.1</v>
      </c>
      <c r="O25" s="375">
        <v>2</v>
      </c>
      <c r="P25" s="375" t="s">
        <v>272</v>
      </c>
      <c r="Q25" s="375" t="s">
        <v>275</v>
      </c>
      <c r="R25" s="375" t="s">
        <v>291</v>
      </c>
      <c r="S25" s="380" t="s">
        <v>271</v>
      </c>
      <c r="T25" s="154">
        <v>5</v>
      </c>
      <c r="U25" s="154">
        <v>5</v>
      </c>
      <c r="V25" s="154">
        <v>4</v>
      </c>
      <c r="W25" s="154">
        <v>5</v>
      </c>
      <c r="X25" s="154">
        <v>5</v>
      </c>
      <c r="Y25" s="154">
        <v>5</v>
      </c>
      <c r="Z25" s="154">
        <f t="shared" si="19"/>
        <v>99</v>
      </c>
      <c r="AA25" s="405">
        <f t="shared" si="2"/>
        <v>175000</v>
      </c>
      <c r="AB25" s="405">
        <f t="shared" si="3"/>
        <v>105000</v>
      </c>
      <c r="AC25" s="407">
        <f t="shared" si="4"/>
        <v>1600</v>
      </c>
      <c r="AD25" s="343"/>
      <c r="AE25" s="343"/>
      <c r="AF25" s="343"/>
      <c r="AG25" s="343"/>
      <c r="AH25" s="381"/>
      <c r="AI25" s="381"/>
      <c r="AJ25" s="381"/>
      <c r="AK25" s="381"/>
      <c r="AW25" s="217">
        <f t="shared" si="5"/>
        <v>5</v>
      </c>
      <c r="AX25" s="217">
        <f t="shared" si="6"/>
        <v>5</v>
      </c>
      <c r="AY25" s="217">
        <f t="shared" si="7"/>
        <v>4</v>
      </c>
      <c r="AZ25" s="217">
        <f t="shared" si="8"/>
        <v>5</v>
      </c>
      <c r="BA25" s="217">
        <f t="shared" si="9"/>
        <v>5</v>
      </c>
      <c r="BB25" s="217">
        <f t="shared" si="10"/>
        <v>5</v>
      </c>
      <c r="BC25" s="217">
        <f t="shared" si="11"/>
        <v>74</v>
      </c>
      <c r="BD25" s="217"/>
      <c r="BE25" s="217">
        <f t="shared" si="12"/>
        <v>5</v>
      </c>
      <c r="BF25" s="217">
        <f t="shared" si="13"/>
        <v>5</v>
      </c>
      <c r="BG25" s="217">
        <f t="shared" si="14"/>
        <v>5</v>
      </c>
      <c r="BH25" s="217">
        <f t="shared" si="15"/>
        <v>5</v>
      </c>
      <c r="BI25" s="217">
        <f t="shared" si="16"/>
        <v>5</v>
      </c>
      <c r="BJ25" s="217">
        <f t="shared" si="17"/>
        <v>5</v>
      </c>
      <c r="BK25" s="217">
        <f t="shared" si="18"/>
        <v>75</v>
      </c>
    </row>
    <row r="26" spans="2:63" s="372" customFormat="1" ht="30" customHeight="1" x14ac:dyDescent="0.35">
      <c r="B26" s="373" t="s">
        <v>452</v>
      </c>
      <c r="C26" s="374" t="s">
        <v>969</v>
      </c>
      <c r="D26" s="375"/>
      <c r="E26" s="375"/>
      <c r="F26" s="383">
        <f>7+41/60+57/3600</f>
        <v>7.6991666666666667</v>
      </c>
      <c r="G26" s="383">
        <f>134+38/60+7/3600</f>
        <v>134.63527777777776</v>
      </c>
      <c r="H26" s="383">
        <f>7+41/60+57/3600</f>
        <v>7.6991666666666667</v>
      </c>
      <c r="I26" s="383">
        <f>134+38/60+16/3600</f>
        <v>134.63777777777776</v>
      </c>
      <c r="J26" s="375" t="s">
        <v>277</v>
      </c>
      <c r="K26" s="377">
        <v>1986</v>
      </c>
      <c r="L26" s="375">
        <v>2006</v>
      </c>
      <c r="M26" s="378">
        <v>350</v>
      </c>
      <c r="N26" s="379">
        <v>6.1</v>
      </c>
      <c r="O26" s="375">
        <v>2</v>
      </c>
      <c r="P26" s="375" t="s">
        <v>272</v>
      </c>
      <c r="Q26" s="375" t="s">
        <v>275</v>
      </c>
      <c r="R26" s="375" t="s">
        <v>291</v>
      </c>
      <c r="S26" s="380" t="s">
        <v>271</v>
      </c>
      <c r="T26" s="154">
        <v>5</v>
      </c>
      <c r="U26" s="154">
        <v>4</v>
      </c>
      <c r="V26" s="154">
        <v>4</v>
      </c>
      <c r="W26" s="154">
        <v>5</v>
      </c>
      <c r="X26" s="154">
        <v>5</v>
      </c>
      <c r="Y26" s="154">
        <v>5</v>
      </c>
      <c r="Z26" s="154">
        <f t="shared" si="19"/>
        <v>94</v>
      </c>
      <c r="AA26" s="405">
        <f t="shared" si="2"/>
        <v>175000</v>
      </c>
      <c r="AB26" s="405">
        <f t="shared" si="3"/>
        <v>105000</v>
      </c>
      <c r="AC26" s="407">
        <f t="shared" si="4"/>
        <v>1600</v>
      </c>
      <c r="AD26" s="343"/>
      <c r="AE26" s="343"/>
      <c r="AF26" s="343"/>
      <c r="AG26" s="343"/>
      <c r="AH26" s="381"/>
      <c r="AI26" s="381"/>
      <c r="AJ26" s="381"/>
      <c r="AK26" s="381"/>
      <c r="AW26" s="217">
        <f t="shared" si="5"/>
        <v>5</v>
      </c>
      <c r="AX26" s="217">
        <f t="shared" si="6"/>
        <v>4</v>
      </c>
      <c r="AY26" s="217">
        <f t="shared" si="7"/>
        <v>4</v>
      </c>
      <c r="AZ26" s="217">
        <f t="shared" si="8"/>
        <v>5</v>
      </c>
      <c r="BA26" s="217">
        <f t="shared" si="9"/>
        <v>5</v>
      </c>
      <c r="BB26" s="217">
        <f t="shared" si="10"/>
        <v>5</v>
      </c>
      <c r="BC26" s="217">
        <f t="shared" si="11"/>
        <v>70</v>
      </c>
      <c r="BD26" s="217"/>
      <c r="BE26" s="217">
        <f t="shared" si="12"/>
        <v>5</v>
      </c>
      <c r="BF26" s="217">
        <f t="shared" si="13"/>
        <v>5</v>
      </c>
      <c r="BG26" s="217">
        <f t="shared" si="14"/>
        <v>5</v>
      </c>
      <c r="BH26" s="217">
        <f t="shared" si="15"/>
        <v>5</v>
      </c>
      <c r="BI26" s="217">
        <f t="shared" si="16"/>
        <v>5</v>
      </c>
      <c r="BJ26" s="217">
        <f t="shared" si="17"/>
        <v>5</v>
      </c>
      <c r="BK26" s="217">
        <f t="shared" si="18"/>
        <v>75</v>
      </c>
    </row>
    <row r="27" spans="2:63" s="372" customFormat="1" ht="30" customHeight="1" x14ac:dyDescent="0.35">
      <c r="B27" s="373" t="s">
        <v>453</v>
      </c>
      <c r="C27" s="374" t="s">
        <v>970</v>
      </c>
      <c r="D27" s="375"/>
      <c r="E27" s="375"/>
      <c r="F27" s="383">
        <f>7+41/60+57/3600</f>
        <v>7.6991666666666667</v>
      </c>
      <c r="G27" s="383">
        <f>134+38/60+16/3600</f>
        <v>134.63777777777776</v>
      </c>
      <c r="H27" s="383">
        <f>7+42/60+9/3600</f>
        <v>7.7025000000000006</v>
      </c>
      <c r="I27" s="383">
        <f>134+38/60+29/3600</f>
        <v>134.64138888888888</v>
      </c>
      <c r="J27" s="375" t="s">
        <v>277</v>
      </c>
      <c r="K27" s="377">
        <v>1986</v>
      </c>
      <c r="L27" s="375">
        <v>2007</v>
      </c>
      <c r="M27" s="378">
        <v>610</v>
      </c>
      <c r="N27" s="379">
        <v>6.1</v>
      </c>
      <c r="O27" s="375">
        <v>2</v>
      </c>
      <c r="P27" s="375" t="s">
        <v>272</v>
      </c>
      <c r="Q27" s="375" t="s">
        <v>275</v>
      </c>
      <c r="R27" s="375" t="s">
        <v>291</v>
      </c>
      <c r="S27" s="380" t="s">
        <v>271</v>
      </c>
      <c r="T27" s="154">
        <v>5</v>
      </c>
      <c r="U27" s="154">
        <v>4</v>
      </c>
      <c r="V27" s="154">
        <v>4</v>
      </c>
      <c r="W27" s="154">
        <v>5</v>
      </c>
      <c r="X27" s="154">
        <v>5</v>
      </c>
      <c r="Y27" s="154">
        <v>5</v>
      </c>
      <c r="Z27" s="154">
        <f t="shared" si="19"/>
        <v>94</v>
      </c>
      <c r="AA27" s="405">
        <f t="shared" si="2"/>
        <v>305000</v>
      </c>
      <c r="AB27" s="405">
        <f t="shared" si="3"/>
        <v>183000</v>
      </c>
      <c r="AC27" s="407">
        <f t="shared" si="4"/>
        <v>2700</v>
      </c>
      <c r="AD27" s="343"/>
      <c r="AE27" s="343"/>
      <c r="AF27" s="343"/>
      <c r="AG27" s="343"/>
      <c r="AH27" s="381"/>
      <c r="AI27" s="381"/>
      <c r="AJ27" s="381"/>
      <c r="AK27" s="381"/>
      <c r="AW27" s="217">
        <f t="shared" si="5"/>
        <v>5</v>
      </c>
      <c r="AX27" s="217">
        <f t="shared" si="6"/>
        <v>4</v>
      </c>
      <c r="AY27" s="217">
        <f t="shared" si="7"/>
        <v>4</v>
      </c>
      <c r="AZ27" s="217">
        <f t="shared" si="8"/>
        <v>5</v>
      </c>
      <c r="BA27" s="217">
        <f t="shared" si="9"/>
        <v>5</v>
      </c>
      <c r="BB27" s="217">
        <f t="shared" si="10"/>
        <v>5</v>
      </c>
      <c r="BC27" s="217">
        <f t="shared" si="11"/>
        <v>70</v>
      </c>
      <c r="BD27" s="217"/>
      <c r="BE27" s="217">
        <f t="shared" si="12"/>
        <v>5</v>
      </c>
      <c r="BF27" s="217">
        <f t="shared" si="13"/>
        <v>5</v>
      </c>
      <c r="BG27" s="217">
        <f t="shared" si="14"/>
        <v>5</v>
      </c>
      <c r="BH27" s="217">
        <f t="shared" si="15"/>
        <v>5</v>
      </c>
      <c r="BI27" s="217">
        <f t="shared" si="16"/>
        <v>5</v>
      </c>
      <c r="BJ27" s="217">
        <f t="shared" si="17"/>
        <v>5</v>
      </c>
      <c r="BK27" s="217">
        <f t="shared" si="18"/>
        <v>75</v>
      </c>
    </row>
    <row r="28" spans="2:63" s="372" customFormat="1" ht="30" customHeight="1" x14ac:dyDescent="0.35">
      <c r="B28" s="373" t="s">
        <v>456</v>
      </c>
      <c r="C28" s="374" t="s">
        <v>971</v>
      </c>
      <c r="D28" s="375"/>
      <c r="E28" s="375"/>
      <c r="F28" s="383">
        <f>7+42/60+9/3600</f>
        <v>7.7025000000000006</v>
      </c>
      <c r="G28" s="383">
        <f>134+38/60+29/3600</f>
        <v>134.64138888888888</v>
      </c>
      <c r="H28" s="383">
        <f>7+42/60+12/3600</f>
        <v>7.7033333333333331</v>
      </c>
      <c r="I28" s="383">
        <f>134+38/60+34/3600</f>
        <v>134.64277777777778</v>
      </c>
      <c r="J28" s="375" t="s">
        <v>277</v>
      </c>
      <c r="K28" s="377">
        <v>1986</v>
      </c>
      <c r="L28" s="375">
        <v>2008</v>
      </c>
      <c r="M28" s="378">
        <v>460</v>
      </c>
      <c r="N28" s="379">
        <v>6.1</v>
      </c>
      <c r="O28" s="375">
        <v>2</v>
      </c>
      <c r="P28" s="375" t="s">
        <v>272</v>
      </c>
      <c r="Q28" s="375" t="s">
        <v>275</v>
      </c>
      <c r="R28" s="375" t="s">
        <v>291</v>
      </c>
      <c r="S28" s="380" t="s">
        <v>271</v>
      </c>
      <c r="T28" s="154">
        <v>5</v>
      </c>
      <c r="U28" s="154">
        <v>4</v>
      </c>
      <c r="V28" s="154">
        <v>4</v>
      </c>
      <c r="W28" s="154">
        <v>5</v>
      </c>
      <c r="X28" s="154">
        <v>5</v>
      </c>
      <c r="Y28" s="154">
        <v>5</v>
      </c>
      <c r="Z28" s="154">
        <f t="shared" si="19"/>
        <v>94</v>
      </c>
      <c r="AA28" s="405">
        <f t="shared" si="2"/>
        <v>230000</v>
      </c>
      <c r="AB28" s="405">
        <f t="shared" si="3"/>
        <v>138000</v>
      </c>
      <c r="AC28" s="407">
        <f t="shared" si="4"/>
        <v>2100</v>
      </c>
      <c r="AD28" s="343"/>
      <c r="AE28" s="343"/>
      <c r="AF28" s="343"/>
      <c r="AG28" s="343"/>
      <c r="AH28" s="381"/>
      <c r="AI28" s="381"/>
      <c r="AJ28" s="381"/>
      <c r="AK28" s="381"/>
      <c r="AW28" s="217">
        <f t="shared" si="5"/>
        <v>5</v>
      </c>
      <c r="AX28" s="217">
        <f t="shared" si="6"/>
        <v>4</v>
      </c>
      <c r="AY28" s="217">
        <f t="shared" si="7"/>
        <v>4</v>
      </c>
      <c r="AZ28" s="217">
        <f t="shared" si="8"/>
        <v>5</v>
      </c>
      <c r="BA28" s="217">
        <f t="shared" si="9"/>
        <v>5</v>
      </c>
      <c r="BB28" s="217">
        <f t="shared" si="10"/>
        <v>5</v>
      </c>
      <c r="BC28" s="217">
        <f t="shared" si="11"/>
        <v>70</v>
      </c>
      <c r="BD28" s="217"/>
      <c r="BE28" s="217">
        <f t="shared" si="12"/>
        <v>5</v>
      </c>
      <c r="BF28" s="217">
        <f t="shared" si="13"/>
        <v>5</v>
      </c>
      <c r="BG28" s="217">
        <f t="shared" si="14"/>
        <v>5</v>
      </c>
      <c r="BH28" s="217">
        <f t="shared" si="15"/>
        <v>5</v>
      </c>
      <c r="BI28" s="217">
        <f t="shared" si="16"/>
        <v>5</v>
      </c>
      <c r="BJ28" s="217">
        <f t="shared" si="17"/>
        <v>5</v>
      </c>
      <c r="BK28" s="217">
        <f t="shared" si="18"/>
        <v>75</v>
      </c>
    </row>
    <row r="29" spans="2:63" s="372" customFormat="1" ht="30" customHeight="1" x14ac:dyDescent="0.35">
      <c r="B29" s="373" t="s">
        <v>460</v>
      </c>
      <c r="C29" s="374" t="s">
        <v>972</v>
      </c>
      <c r="D29" s="375" t="s">
        <v>462</v>
      </c>
      <c r="E29" s="375" t="s">
        <v>451</v>
      </c>
      <c r="F29" s="383">
        <f>7+41/60+53/3600</f>
        <v>7.6980555555555554</v>
      </c>
      <c r="G29" s="383">
        <f>134+37/60+47/3600</f>
        <v>134.62972222222223</v>
      </c>
      <c r="H29" s="383">
        <f>7+41/60+27/3600</f>
        <v>7.6908333333333339</v>
      </c>
      <c r="I29" s="383">
        <f>134+38/60+3/3600</f>
        <v>134.63416666666666</v>
      </c>
      <c r="J29" s="375" t="s">
        <v>99</v>
      </c>
      <c r="K29" s="377">
        <v>1986</v>
      </c>
      <c r="L29" s="375">
        <v>2009</v>
      </c>
      <c r="M29" s="378">
        <v>1070</v>
      </c>
      <c r="N29" s="379">
        <v>6.1</v>
      </c>
      <c r="O29" s="375">
        <v>2</v>
      </c>
      <c r="P29" s="375" t="s">
        <v>272</v>
      </c>
      <c r="Q29" s="375" t="s">
        <v>275</v>
      </c>
      <c r="R29" s="375" t="s">
        <v>291</v>
      </c>
      <c r="S29" s="380" t="s">
        <v>271</v>
      </c>
      <c r="T29" s="154">
        <v>5</v>
      </c>
      <c r="U29" s="154">
        <v>5</v>
      </c>
      <c r="V29" s="154">
        <v>4</v>
      </c>
      <c r="W29" s="154">
        <v>5</v>
      </c>
      <c r="X29" s="154">
        <v>5</v>
      </c>
      <c r="Y29" s="154">
        <v>5</v>
      </c>
      <c r="Z29" s="154">
        <f t="shared" si="19"/>
        <v>99</v>
      </c>
      <c r="AA29" s="405">
        <f t="shared" si="2"/>
        <v>535000</v>
      </c>
      <c r="AB29" s="405">
        <f t="shared" si="3"/>
        <v>321000</v>
      </c>
      <c r="AC29" s="407">
        <f t="shared" si="4"/>
        <v>4800</v>
      </c>
      <c r="AD29" s="343"/>
      <c r="AE29" s="343"/>
      <c r="AF29" s="343"/>
      <c r="AG29" s="343"/>
      <c r="AH29" s="381"/>
      <c r="AI29" s="381"/>
      <c r="AJ29" s="381"/>
      <c r="AK29" s="381"/>
      <c r="AW29" s="217">
        <f t="shared" si="5"/>
        <v>5</v>
      </c>
      <c r="AX29" s="217">
        <f t="shared" si="6"/>
        <v>5</v>
      </c>
      <c r="AY29" s="217">
        <f t="shared" si="7"/>
        <v>4</v>
      </c>
      <c r="AZ29" s="217">
        <f t="shared" si="8"/>
        <v>5</v>
      </c>
      <c r="BA29" s="217">
        <f t="shared" si="9"/>
        <v>5</v>
      </c>
      <c r="BB29" s="217">
        <f t="shared" si="10"/>
        <v>5</v>
      </c>
      <c r="BC29" s="217">
        <f t="shared" si="11"/>
        <v>74</v>
      </c>
      <c r="BD29" s="217"/>
      <c r="BE29" s="217">
        <f t="shared" si="12"/>
        <v>5</v>
      </c>
      <c r="BF29" s="217">
        <f t="shared" si="13"/>
        <v>5</v>
      </c>
      <c r="BG29" s="217">
        <f t="shared" si="14"/>
        <v>5</v>
      </c>
      <c r="BH29" s="217">
        <f t="shared" si="15"/>
        <v>5</v>
      </c>
      <c r="BI29" s="217">
        <f t="shared" si="16"/>
        <v>5</v>
      </c>
      <c r="BJ29" s="217">
        <f t="shared" si="17"/>
        <v>5</v>
      </c>
      <c r="BK29" s="217">
        <f t="shared" si="18"/>
        <v>75</v>
      </c>
    </row>
    <row r="30" spans="2:63" s="372" customFormat="1" ht="30" customHeight="1" x14ac:dyDescent="0.35">
      <c r="B30" s="373" t="s">
        <v>461</v>
      </c>
      <c r="C30" s="374" t="s">
        <v>973</v>
      </c>
      <c r="D30" s="375"/>
      <c r="E30" s="375"/>
      <c r="F30" s="375"/>
      <c r="G30" s="375"/>
      <c r="H30" s="375"/>
      <c r="I30" s="375"/>
      <c r="J30" s="375" t="s">
        <v>277</v>
      </c>
      <c r="K30" s="377">
        <v>1986</v>
      </c>
      <c r="L30" s="375">
        <v>2009</v>
      </c>
      <c r="M30" s="378">
        <v>695</v>
      </c>
      <c r="N30" s="379">
        <v>6.1</v>
      </c>
      <c r="O30" s="375">
        <v>2</v>
      </c>
      <c r="P30" s="375" t="s">
        <v>272</v>
      </c>
      <c r="Q30" s="375" t="s">
        <v>275</v>
      </c>
      <c r="R30" s="375" t="s">
        <v>291</v>
      </c>
      <c r="S30" s="380" t="s">
        <v>271</v>
      </c>
      <c r="T30" s="154">
        <v>5</v>
      </c>
      <c r="U30" s="154">
        <v>5</v>
      </c>
      <c r="V30" s="154">
        <v>4</v>
      </c>
      <c r="W30" s="154">
        <v>4</v>
      </c>
      <c r="X30" s="154">
        <v>4</v>
      </c>
      <c r="Y30" s="154">
        <v>5</v>
      </c>
      <c r="Z30" s="154">
        <f t="shared" si="19"/>
        <v>96</v>
      </c>
      <c r="AA30" s="405">
        <f t="shared" si="2"/>
        <v>347500</v>
      </c>
      <c r="AB30" s="405">
        <f t="shared" si="3"/>
        <v>208500</v>
      </c>
      <c r="AC30" s="407">
        <f t="shared" si="4"/>
        <v>3100</v>
      </c>
      <c r="AD30" s="343"/>
      <c r="AE30" s="343"/>
      <c r="AF30" s="343"/>
      <c r="AG30" s="343"/>
      <c r="AH30" s="381"/>
      <c r="AI30" s="381"/>
      <c r="AJ30" s="381"/>
      <c r="AK30" s="381"/>
      <c r="AW30" s="217">
        <f t="shared" si="5"/>
        <v>5</v>
      </c>
      <c r="AX30" s="217">
        <f t="shared" si="6"/>
        <v>5</v>
      </c>
      <c r="AY30" s="217">
        <f t="shared" si="7"/>
        <v>4</v>
      </c>
      <c r="AZ30" s="217">
        <f t="shared" si="8"/>
        <v>4</v>
      </c>
      <c r="BA30" s="217">
        <f t="shared" si="9"/>
        <v>4</v>
      </c>
      <c r="BB30" s="217">
        <f t="shared" si="10"/>
        <v>5</v>
      </c>
      <c r="BC30" s="217">
        <f t="shared" si="11"/>
        <v>72</v>
      </c>
      <c r="BD30" s="217"/>
      <c r="BE30" s="217">
        <f t="shared" si="12"/>
        <v>5</v>
      </c>
      <c r="BF30" s="217">
        <f t="shared" si="13"/>
        <v>5</v>
      </c>
      <c r="BG30" s="217">
        <f t="shared" si="14"/>
        <v>5</v>
      </c>
      <c r="BH30" s="217">
        <f t="shared" si="15"/>
        <v>5</v>
      </c>
      <c r="BI30" s="217">
        <f t="shared" si="16"/>
        <v>5</v>
      </c>
      <c r="BJ30" s="217">
        <f t="shared" si="17"/>
        <v>5</v>
      </c>
      <c r="BK30" s="217">
        <f t="shared" si="18"/>
        <v>75</v>
      </c>
    </row>
    <row r="31" spans="2:63" s="372" customFormat="1" ht="30" customHeight="1" x14ac:dyDescent="0.35">
      <c r="B31" s="373" t="s">
        <v>463</v>
      </c>
      <c r="C31" s="374" t="s">
        <v>450</v>
      </c>
      <c r="D31" s="375" t="s">
        <v>451</v>
      </c>
      <c r="E31" s="375" t="s">
        <v>451</v>
      </c>
      <c r="F31" s="375">
        <f>7+41/60+27/3600</f>
        <v>7.6908333333333339</v>
      </c>
      <c r="G31" s="375">
        <f>134+38/60+3/3600</f>
        <v>134.63416666666666</v>
      </c>
      <c r="H31" s="376">
        <f>7+41/60+24/3600</f>
        <v>7.69</v>
      </c>
      <c r="I31" s="375">
        <f>134+38/60+9/3600</f>
        <v>134.63583333333332</v>
      </c>
      <c r="J31" s="375" t="s">
        <v>97</v>
      </c>
      <c r="K31" s="377">
        <v>1986</v>
      </c>
      <c r="L31" s="375">
        <v>2011</v>
      </c>
      <c r="M31" s="378">
        <v>260</v>
      </c>
      <c r="N31" s="379">
        <v>6.1</v>
      </c>
      <c r="O31" s="375">
        <v>2</v>
      </c>
      <c r="P31" s="375" t="s">
        <v>272</v>
      </c>
      <c r="Q31" s="375" t="s">
        <v>275</v>
      </c>
      <c r="R31" s="375" t="s">
        <v>291</v>
      </c>
      <c r="S31" s="380" t="s">
        <v>271</v>
      </c>
      <c r="T31" s="154">
        <v>5</v>
      </c>
      <c r="U31" s="154">
        <v>5</v>
      </c>
      <c r="V31" s="154">
        <v>4</v>
      </c>
      <c r="W31" s="154">
        <v>4</v>
      </c>
      <c r="X31" s="154">
        <v>5</v>
      </c>
      <c r="Y31" s="154">
        <v>5</v>
      </c>
      <c r="Z31" s="154">
        <f t="shared" si="19"/>
        <v>98</v>
      </c>
      <c r="AA31" s="405">
        <f t="shared" si="2"/>
        <v>130000</v>
      </c>
      <c r="AB31" s="405">
        <f t="shared" si="3"/>
        <v>78000</v>
      </c>
      <c r="AC31" s="407">
        <f t="shared" si="4"/>
        <v>1200</v>
      </c>
      <c r="AD31" s="343"/>
      <c r="AE31" s="343"/>
      <c r="AF31" s="343"/>
      <c r="AG31" s="343"/>
      <c r="AH31" s="381"/>
      <c r="AI31" s="381"/>
      <c r="AJ31" s="381"/>
      <c r="AK31" s="381"/>
      <c r="AW31" s="217">
        <f t="shared" si="5"/>
        <v>5</v>
      </c>
      <c r="AX31" s="217">
        <f t="shared" si="6"/>
        <v>5</v>
      </c>
      <c r="AY31" s="217">
        <f t="shared" si="7"/>
        <v>4</v>
      </c>
      <c r="AZ31" s="217">
        <f t="shared" si="8"/>
        <v>4</v>
      </c>
      <c r="BA31" s="217">
        <f t="shared" si="9"/>
        <v>5</v>
      </c>
      <c r="BB31" s="217">
        <f t="shared" si="10"/>
        <v>5</v>
      </c>
      <c r="BC31" s="217">
        <f t="shared" si="11"/>
        <v>73</v>
      </c>
      <c r="BD31" s="217"/>
      <c r="BE31" s="217">
        <f t="shared" si="12"/>
        <v>5</v>
      </c>
      <c r="BF31" s="217">
        <f t="shared" si="13"/>
        <v>5</v>
      </c>
      <c r="BG31" s="217">
        <f t="shared" si="14"/>
        <v>5</v>
      </c>
      <c r="BH31" s="217">
        <f t="shared" si="15"/>
        <v>5</v>
      </c>
      <c r="BI31" s="217">
        <f t="shared" si="16"/>
        <v>5</v>
      </c>
      <c r="BJ31" s="217">
        <f t="shared" si="17"/>
        <v>5</v>
      </c>
      <c r="BK31" s="217">
        <f t="shared" si="18"/>
        <v>75</v>
      </c>
    </row>
    <row r="32" spans="2:63" s="372" customFormat="1" ht="30" customHeight="1" x14ac:dyDescent="0.35">
      <c r="B32" s="373" t="s">
        <v>464</v>
      </c>
      <c r="C32" s="374" t="s">
        <v>455</v>
      </c>
      <c r="D32" s="375" t="s">
        <v>454</v>
      </c>
      <c r="E32" s="375" t="s">
        <v>454</v>
      </c>
      <c r="F32" s="375">
        <f>7+41/60+41/3600</f>
        <v>7.6947222222222225</v>
      </c>
      <c r="G32" s="375">
        <f>134+37/60+53/3600</f>
        <v>134.63138888888889</v>
      </c>
      <c r="H32" s="376">
        <f>7+41/60+26/3600</f>
        <v>7.690555555555556</v>
      </c>
      <c r="I32" s="375">
        <f>134+37/60+47/3600</f>
        <v>134.62972222222223</v>
      </c>
      <c r="J32" s="375" t="s">
        <v>277</v>
      </c>
      <c r="K32" s="377">
        <v>1986</v>
      </c>
      <c r="L32" s="375">
        <v>2014</v>
      </c>
      <c r="M32" s="378">
        <v>480</v>
      </c>
      <c r="N32" s="379">
        <v>7.3</v>
      </c>
      <c r="O32" s="375">
        <v>2</v>
      </c>
      <c r="P32" s="375" t="s">
        <v>272</v>
      </c>
      <c r="Q32" s="375" t="s">
        <v>275</v>
      </c>
      <c r="R32" s="375" t="s">
        <v>291</v>
      </c>
      <c r="S32" s="380" t="s">
        <v>271</v>
      </c>
      <c r="T32" s="154">
        <v>5</v>
      </c>
      <c r="U32" s="154">
        <v>5</v>
      </c>
      <c r="V32" s="154">
        <v>5</v>
      </c>
      <c r="W32" s="154">
        <v>4</v>
      </c>
      <c r="X32" s="154">
        <v>5</v>
      </c>
      <c r="Y32" s="154">
        <v>5</v>
      </c>
      <c r="Z32" s="154">
        <f t="shared" si="19"/>
        <v>99</v>
      </c>
      <c r="AA32" s="405">
        <f t="shared" si="2"/>
        <v>240000</v>
      </c>
      <c r="AB32" s="405">
        <f t="shared" si="3"/>
        <v>144000</v>
      </c>
      <c r="AC32" s="407">
        <f t="shared" si="4"/>
        <v>2200</v>
      </c>
      <c r="AD32" s="343"/>
      <c r="AE32" s="343"/>
      <c r="AF32" s="343"/>
      <c r="AG32" s="343"/>
      <c r="AH32" s="381"/>
      <c r="AI32" s="381"/>
      <c r="AJ32" s="381"/>
      <c r="AK32" s="381"/>
      <c r="AW32" s="217">
        <f t="shared" si="5"/>
        <v>5</v>
      </c>
      <c r="AX32" s="217">
        <f t="shared" si="6"/>
        <v>5</v>
      </c>
      <c r="AY32" s="217">
        <f t="shared" si="7"/>
        <v>5</v>
      </c>
      <c r="AZ32" s="217">
        <f t="shared" si="8"/>
        <v>4</v>
      </c>
      <c r="BA32" s="217">
        <f t="shared" si="9"/>
        <v>5</v>
      </c>
      <c r="BB32" s="217">
        <f t="shared" si="10"/>
        <v>5</v>
      </c>
      <c r="BC32" s="217">
        <f t="shared" si="11"/>
        <v>74</v>
      </c>
      <c r="BD32" s="217"/>
      <c r="BE32" s="217">
        <f t="shared" si="12"/>
        <v>5</v>
      </c>
      <c r="BF32" s="217">
        <f t="shared" si="13"/>
        <v>5</v>
      </c>
      <c r="BG32" s="217">
        <f t="shared" si="14"/>
        <v>5</v>
      </c>
      <c r="BH32" s="217">
        <f t="shared" si="15"/>
        <v>5</v>
      </c>
      <c r="BI32" s="217">
        <f t="shared" si="16"/>
        <v>5</v>
      </c>
      <c r="BJ32" s="217">
        <f t="shared" si="17"/>
        <v>5</v>
      </c>
      <c r="BK32" s="217">
        <f t="shared" si="18"/>
        <v>75</v>
      </c>
    </row>
    <row r="33" spans="2:63" s="372" customFormat="1" ht="30" customHeight="1" x14ac:dyDescent="0.35">
      <c r="B33" s="373" t="s">
        <v>465</v>
      </c>
      <c r="C33" s="374" t="s">
        <v>457</v>
      </c>
      <c r="D33" s="375" t="s">
        <v>454</v>
      </c>
      <c r="E33" s="375" t="s">
        <v>454</v>
      </c>
      <c r="F33" s="376">
        <f>7+41/60+26/3600</f>
        <v>7.690555555555556</v>
      </c>
      <c r="G33" s="375">
        <f>134+37/60+47/3600</f>
        <v>134.62972222222223</v>
      </c>
      <c r="H33" s="376">
        <f>7+41/60+14/3600</f>
        <v>7.6872222222222222</v>
      </c>
      <c r="I33" s="383">
        <f>134+37/60+30/3600</f>
        <v>134.625</v>
      </c>
      <c r="J33" s="375" t="s">
        <v>277</v>
      </c>
      <c r="K33" s="377">
        <v>1986</v>
      </c>
      <c r="L33" s="375">
        <v>2015</v>
      </c>
      <c r="M33" s="378">
        <v>350</v>
      </c>
      <c r="N33" s="379">
        <v>7.3</v>
      </c>
      <c r="O33" s="375">
        <v>2</v>
      </c>
      <c r="P33" s="375" t="s">
        <v>272</v>
      </c>
      <c r="Q33" s="375" t="s">
        <v>275</v>
      </c>
      <c r="R33" s="375" t="s">
        <v>291</v>
      </c>
      <c r="S33" s="380" t="s">
        <v>271</v>
      </c>
      <c r="T33" s="154">
        <v>5</v>
      </c>
      <c r="U33" s="154">
        <v>5</v>
      </c>
      <c r="V33" s="154">
        <v>5</v>
      </c>
      <c r="W33" s="154">
        <v>4</v>
      </c>
      <c r="X33" s="154">
        <v>5</v>
      </c>
      <c r="Y33" s="154">
        <v>5</v>
      </c>
      <c r="Z33" s="154">
        <f t="shared" si="19"/>
        <v>99</v>
      </c>
      <c r="AA33" s="405">
        <f t="shared" si="2"/>
        <v>175000</v>
      </c>
      <c r="AB33" s="405">
        <f t="shared" si="3"/>
        <v>105000</v>
      </c>
      <c r="AC33" s="407">
        <f t="shared" si="4"/>
        <v>1600</v>
      </c>
      <c r="AD33" s="343"/>
      <c r="AE33" s="343"/>
      <c r="AF33" s="343"/>
      <c r="AG33" s="343"/>
      <c r="AH33" s="381"/>
      <c r="AI33" s="381"/>
      <c r="AJ33" s="381"/>
      <c r="AK33" s="381"/>
      <c r="AW33" s="217">
        <f t="shared" si="5"/>
        <v>5</v>
      </c>
      <c r="AX33" s="217">
        <f t="shared" si="6"/>
        <v>5</v>
      </c>
      <c r="AY33" s="217">
        <f t="shared" si="7"/>
        <v>5</v>
      </c>
      <c r="AZ33" s="217">
        <f t="shared" si="8"/>
        <v>4</v>
      </c>
      <c r="BA33" s="217">
        <f t="shared" si="9"/>
        <v>5</v>
      </c>
      <c r="BB33" s="217">
        <f t="shared" si="10"/>
        <v>5</v>
      </c>
      <c r="BC33" s="217">
        <f t="shared" si="11"/>
        <v>74</v>
      </c>
      <c r="BD33" s="217"/>
      <c r="BE33" s="217">
        <f t="shared" si="12"/>
        <v>5</v>
      </c>
      <c r="BF33" s="217">
        <f t="shared" si="13"/>
        <v>5</v>
      </c>
      <c r="BG33" s="217">
        <f t="shared" si="14"/>
        <v>5</v>
      </c>
      <c r="BH33" s="217">
        <f t="shared" si="15"/>
        <v>5</v>
      </c>
      <c r="BI33" s="217">
        <f t="shared" si="16"/>
        <v>5</v>
      </c>
      <c r="BJ33" s="217">
        <f t="shared" si="17"/>
        <v>5</v>
      </c>
      <c r="BK33" s="217">
        <f t="shared" si="18"/>
        <v>75</v>
      </c>
    </row>
    <row r="34" spans="2:63" s="372" customFormat="1" ht="30" customHeight="1" x14ac:dyDescent="0.35">
      <c r="B34" s="373" t="s">
        <v>466</v>
      </c>
      <c r="C34" s="374" t="s">
        <v>467</v>
      </c>
      <c r="D34" s="375" t="s">
        <v>424</v>
      </c>
      <c r="E34" s="375" t="s">
        <v>424</v>
      </c>
      <c r="F34" s="376">
        <f>7+43/60+10/3600</f>
        <v>7.719444444444445</v>
      </c>
      <c r="G34" s="375">
        <f>134+36/60+54/3600</f>
        <v>134.61499999999998</v>
      </c>
      <c r="H34" s="376">
        <f>7+43/60+17/3600</f>
        <v>7.7213888888888889</v>
      </c>
      <c r="I34" s="375">
        <f>134+36/60+59/3600</f>
        <v>134.61638888888888</v>
      </c>
      <c r="J34" s="375" t="s">
        <v>97</v>
      </c>
      <c r="K34" s="377">
        <v>2016</v>
      </c>
      <c r="L34" s="375" t="s">
        <v>311</v>
      </c>
      <c r="M34" s="378">
        <v>340</v>
      </c>
      <c r="N34" s="379">
        <v>3.6</v>
      </c>
      <c r="O34" s="375">
        <v>1</v>
      </c>
      <c r="P34" s="375" t="s">
        <v>272</v>
      </c>
      <c r="Q34" s="375" t="s">
        <v>275</v>
      </c>
      <c r="R34" s="375" t="s">
        <v>92</v>
      </c>
      <c r="S34" s="380" t="s">
        <v>92</v>
      </c>
      <c r="T34" s="154">
        <v>5</v>
      </c>
      <c r="U34" s="154">
        <v>5</v>
      </c>
      <c r="V34" s="154">
        <v>2</v>
      </c>
      <c r="W34" s="154">
        <v>2</v>
      </c>
      <c r="X34" s="154" t="s">
        <v>311</v>
      </c>
      <c r="Y34" s="154">
        <v>4</v>
      </c>
      <c r="Z34" s="154">
        <f t="shared" si="19"/>
        <v>86</v>
      </c>
      <c r="AA34" s="405">
        <f t="shared" si="2"/>
        <v>170000</v>
      </c>
      <c r="AB34" s="405">
        <f t="shared" si="3"/>
        <v>102000</v>
      </c>
      <c r="AC34" s="407">
        <f t="shared" si="4"/>
        <v>1500</v>
      </c>
      <c r="AD34" s="343"/>
      <c r="AE34" s="343"/>
      <c r="AF34" s="343"/>
      <c r="AG34" s="343"/>
      <c r="AH34" s="381"/>
      <c r="AI34" s="381"/>
      <c r="AJ34" s="381">
        <f t="shared" ref="AJ34:AJ73" si="24">$M34*V$2</f>
        <v>34000</v>
      </c>
      <c r="AK34" s="381"/>
      <c r="AW34" s="217">
        <f t="shared" si="5"/>
        <v>5</v>
      </c>
      <c r="AX34" s="217">
        <f t="shared" si="6"/>
        <v>5</v>
      </c>
      <c r="AY34" s="217">
        <f t="shared" si="7"/>
        <v>2</v>
      </c>
      <c r="AZ34" s="217">
        <f t="shared" si="8"/>
        <v>2</v>
      </c>
      <c r="BA34" s="217">
        <f t="shared" si="9"/>
        <v>0</v>
      </c>
      <c r="BB34" s="217">
        <f t="shared" si="10"/>
        <v>4</v>
      </c>
      <c r="BC34" s="217">
        <f t="shared" si="11"/>
        <v>60</v>
      </c>
      <c r="BD34" s="217"/>
      <c r="BE34" s="217">
        <f t="shared" si="12"/>
        <v>5</v>
      </c>
      <c r="BF34" s="217">
        <f t="shared" si="13"/>
        <v>5</v>
      </c>
      <c r="BG34" s="217">
        <f t="shared" si="14"/>
        <v>5</v>
      </c>
      <c r="BH34" s="217">
        <f t="shared" si="15"/>
        <v>5</v>
      </c>
      <c r="BI34" s="217">
        <f t="shared" si="16"/>
        <v>0</v>
      </c>
      <c r="BJ34" s="217">
        <f t="shared" si="17"/>
        <v>5</v>
      </c>
      <c r="BK34" s="217">
        <f t="shared" si="18"/>
        <v>70</v>
      </c>
    </row>
    <row r="35" spans="2:63" s="372" customFormat="1" ht="30" customHeight="1" x14ac:dyDescent="0.35">
      <c r="B35" s="373" t="s">
        <v>468</v>
      </c>
      <c r="C35" s="374" t="s">
        <v>469</v>
      </c>
      <c r="D35" s="375" t="s">
        <v>424</v>
      </c>
      <c r="E35" s="375" t="s">
        <v>424</v>
      </c>
      <c r="F35" s="376">
        <f>7+43/60+17/3600</f>
        <v>7.7213888888888889</v>
      </c>
      <c r="G35" s="375">
        <f>134+36/60+59/3600</f>
        <v>134.61638888888888</v>
      </c>
      <c r="H35" s="376">
        <f>7+43/60+17/3600</f>
        <v>7.7213888888888889</v>
      </c>
      <c r="I35" s="375">
        <f>134+36/60+59/3600</f>
        <v>134.61638888888888</v>
      </c>
      <c r="J35" s="375" t="s">
        <v>97</v>
      </c>
      <c r="K35" s="377" t="s">
        <v>421</v>
      </c>
      <c r="L35" s="375" t="s">
        <v>311</v>
      </c>
      <c r="M35" s="378">
        <v>485</v>
      </c>
      <c r="N35" s="379">
        <v>3.6</v>
      </c>
      <c r="O35" s="375">
        <v>1</v>
      </c>
      <c r="P35" s="375" t="s">
        <v>272</v>
      </c>
      <c r="Q35" s="375" t="s">
        <v>503</v>
      </c>
      <c r="R35" s="375" t="s">
        <v>92</v>
      </c>
      <c r="S35" s="380" t="s">
        <v>92</v>
      </c>
      <c r="T35" s="154">
        <v>4</v>
      </c>
      <c r="U35" s="154">
        <v>2</v>
      </c>
      <c r="V35" s="154">
        <v>2</v>
      </c>
      <c r="W35" s="154">
        <v>2</v>
      </c>
      <c r="X35" s="154" t="s">
        <v>311</v>
      </c>
      <c r="Y35" s="154">
        <v>2</v>
      </c>
      <c r="Z35" s="154">
        <f t="shared" si="19"/>
        <v>52</v>
      </c>
      <c r="AA35" s="405">
        <f t="shared" si="2"/>
        <v>242500</v>
      </c>
      <c r="AB35" s="405">
        <f t="shared" si="3"/>
        <v>145500</v>
      </c>
      <c r="AC35" s="407">
        <f t="shared" si="4"/>
        <v>2200</v>
      </c>
      <c r="AD35" s="343"/>
      <c r="AE35" s="343"/>
      <c r="AF35" s="343"/>
      <c r="AG35" s="343"/>
      <c r="AH35" s="381"/>
      <c r="AI35" s="381">
        <f t="shared" si="22"/>
        <v>145500</v>
      </c>
      <c r="AJ35" s="381">
        <f t="shared" si="24"/>
        <v>48500</v>
      </c>
      <c r="AK35" s="381"/>
      <c r="AW35" s="217">
        <f t="shared" si="5"/>
        <v>4</v>
      </c>
      <c r="AX35" s="217">
        <f t="shared" si="6"/>
        <v>2</v>
      </c>
      <c r="AY35" s="217">
        <f t="shared" si="7"/>
        <v>2</v>
      </c>
      <c r="AZ35" s="217">
        <f t="shared" si="8"/>
        <v>2</v>
      </c>
      <c r="BA35" s="217">
        <f t="shared" si="9"/>
        <v>0</v>
      </c>
      <c r="BB35" s="217">
        <f t="shared" si="10"/>
        <v>2</v>
      </c>
      <c r="BC35" s="217">
        <f t="shared" si="11"/>
        <v>36</v>
      </c>
      <c r="BD35" s="217"/>
      <c r="BE35" s="217">
        <f t="shared" si="12"/>
        <v>5</v>
      </c>
      <c r="BF35" s="217">
        <f t="shared" si="13"/>
        <v>5</v>
      </c>
      <c r="BG35" s="217">
        <f t="shared" si="14"/>
        <v>5</v>
      </c>
      <c r="BH35" s="217">
        <f t="shared" si="15"/>
        <v>5</v>
      </c>
      <c r="BI35" s="217">
        <f t="shared" si="16"/>
        <v>0</v>
      </c>
      <c r="BJ35" s="217">
        <f t="shared" si="17"/>
        <v>5</v>
      </c>
      <c r="BK35" s="217">
        <f t="shared" si="18"/>
        <v>70</v>
      </c>
    </row>
    <row r="36" spans="2:63" s="372" customFormat="1" ht="30" customHeight="1" x14ac:dyDescent="0.35">
      <c r="B36" s="373"/>
      <c r="C36" s="374"/>
      <c r="D36" s="375"/>
      <c r="E36" s="375"/>
      <c r="F36" s="376"/>
      <c r="G36" s="375"/>
      <c r="H36" s="376"/>
      <c r="I36" s="375"/>
      <c r="J36" s="375"/>
      <c r="K36" s="377"/>
      <c r="L36" s="375"/>
      <c r="M36" s="378"/>
      <c r="N36" s="379"/>
      <c r="O36" s="375"/>
      <c r="P36" s="375"/>
      <c r="Q36" s="375"/>
      <c r="R36" s="375"/>
      <c r="S36" s="380"/>
      <c r="T36" s="154"/>
      <c r="U36" s="154"/>
      <c r="V36" s="154"/>
      <c r="W36" s="154"/>
      <c r="X36" s="154"/>
      <c r="Y36" s="154"/>
      <c r="Z36" s="154"/>
      <c r="AA36" s="405">
        <f t="shared" si="2"/>
        <v>0</v>
      </c>
      <c r="AB36" s="405">
        <f t="shared" si="3"/>
        <v>0</v>
      </c>
      <c r="AC36" s="407">
        <f t="shared" si="4"/>
        <v>0</v>
      </c>
      <c r="AD36" s="343"/>
      <c r="AE36" s="343"/>
      <c r="AF36" s="343"/>
      <c r="AG36" s="343"/>
      <c r="AH36" s="381"/>
      <c r="AI36" s="381"/>
      <c r="AJ36" s="381"/>
      <c r="AK36" s="381"/>
      <c r="AW36" s="217">
        <f t="shared" si="5"/>
        <v>0</v>
      </c>
      <c r="AX36" s="217">
        <f t="shared" si="6"/>
        <v>0</v>
      </c>
      <c r="AY36" s="217">
        <f t="shared" si="7"/>
        <v>0</v>
      </c>
      <c r="AZ36" s="217">
        <f t="shared" si="8"/>
        <v>0</v>
      </c>
      <c r="BA36" s="217">
        <f t="shared" si="9"/>
        <v>0</v>
      </c>
      <c r="BB36" s="217">
        <f t="shared" si="10"/>
        <v>0</v>
      </c>
      <c r="BC36" s="217">
        <f t="shared" si="11"/>
        <v>0</v>
      </c>
      <c r="BD36" s="217"/>
      <c r="BE36" s="217">
        <f t="shared" si="12"/>
        <v>0</v>
      </c>
      <c r="BF36" s="217">
        <f t="shared" si="13"/>
        <v>0</v>
      </c>
      <c r="BG36" s="217">
        <f t="shared" si="14"/>
        <v>0</v>
      </c>
      <c r="BH36" s="217">
        <f t="shared" si="15"/>
        <v>0</v>
      </c>
      <c r="BI36" s="217">
        <f t="shared" si="16"/>
        <v>0</v>
      </c>
      <c r="BJ36" s="217">
        <f t="shared" si="17"/>
        <v>0</v>
      </c>
      <c r="BK36" s="217">
        <f t="shared" si="18"/>
        <v>0</v>
      </c>
    </row>
    <row r="37" spans="2:63" s="372" customFormat="1" ht="30" customHeight="1" x14ac:dyDescent="0.35">
      <c r="B37" s="373" t="s">
        <v>470</v>
      </c>
      <c r="C37" s="374" t="s">
        <v>486</v>
      </c>
      <c r="D37" s="375" t="s">
        <v>487</v>
      </c>
      <c r="E37" s="375" t="s">
        <v>487</v>
      </c>
      <c r="F37" s="383">
        <f>7+38/60+57/3600</f>
        <v>7.649166666666666</v>
      </c>
      <c r="G37" s="383">
        <f>134+38/60+23/3600</f>
        <v>134.63972222222222</v>
      </c>
      <c r="H37" s="383">
        <f>7+38/60+49/3600</f>
        <v>7.6469444444444443</v>
      </c>
      <c r="I37" s="383">
        <f>134+38/60+23/3600</f>
        <v>134.63972222222222</v>
      </c>
      <c r="J37" s="375" t="s">
        <v>99</v>
      </c>
      <c r="K37" s="377">
        <v>2013</v>
      </c>
      <c r="L37" s="375" t="s">
        <v>311</v>
      </c>
      <c r="M37" s="378">
        <v>275</v>
      </c>
      <c r="N37" s="379">
        <v>7.3</v>
      </c>
      <c r="O37" s="375">
        <v>2</v>
      </c>
      <c r="P37" s="375" t="s">
        <v>272</v>
      </c>
      <c r="Q37" s="375" t="s">
        <v>275</v>
      </c>
      <c r="R37" s="375" t="s">
        <v>291</v>
      </c>
      <c r="S37" s="380" t="s">
        <v>489</v>
      </c>
      <c r="T37" s="154">
        <v>5</v>
      </c>
      <c r="U37" s="154">
        <v>5</v>
      </c>
      <c r="V37" s="154">
        <v>5</v>
      </c>
      <c r="W37" s="154">
        <v>5</v>
      </c>
      <c r="X37" s="154">
        <v>4</v>
      </c>
      <c r="Y37" s="154">
        <v>5</v>
      </c>
      <c r="Z37" s="154">
        <f t="shared" si="19"/>
        <v>99</v>
      </c>
      <c r="AA37" s="405">
        <f t="shared" si="2"/>
        <v>137500</v>
      </c>
      <c r="AB37" s="405">
        <f t="shared" si="3"/>
        <v>82500</v>
      </c>
      <c r="AC37" s="407">
        <f t="shared" si="4"/>
        <v>1200</v>
      </c>
      <c r="AD37" s="343"/>
      <c r="AE37" s="343"/>
      <c r="AF37" s="343"/>
      <c r="AG37" s="343"/>
      <c r="AH37" s="381"/>
      <c r="AI37" s="381"/>
      <c r="AJ37" s="381"/>
      <c r="AK37" s="381"/>
      <c r="AW37" s="217">
        <f t="shared" si="5"/>
        <v>5</v>
      </c>
      <c r="AX37" s="217">
        <f t="shared" si="6"/>
        <v>5</v>
      </c>
      <c r="AY37" s="217">
        <f t="shared" si="7"/>
        <v>5</v>
      </c>
      <c r="AZ37" s="217">
        <f t="shared" si="8"/>
        <v>5</v>
      </c>
      <c r="BA37" s="217">
        <f t="shared" si="9"/>
        <v>4</v>
      </c>
      <c r="BB37" s="217">
        <f t="shared" si="10"/>
        <v>5</v>
      </c>
      <c r="BC37" s="217">
        <f t="shared" si="11"/>
        <v>74</v>
      </c>
      <c r="BD37" s="217"/>
      <c r="BE37" s="217">
        <f t="shared" si="12"/>
        <v>5</v>
      </c>
      <c r="BF37" s="217">
        <f t="shared" si="13"/>
        <v>5</v>
      </c>
      <c r="BG37" s="217">
        <f t="shared" si="14"/>
        <v>5</v>
      </c>
      <c r="BH37" s="217">
        <f t="shared" si="15"/>
        <v>5</v>
      </c>
      <c r="BI37" s="217">
        <f t="shared" si="16"/>
        <v>5</v>
      </c>
      <c r="BJ37" s="217">
        <f t="shared" si="17"/>
        <v>5</v>
      </c>
      <c r="BK37" s="217">
        <f t="shared" si="18"/>
        <v>75</v>
      </c>
    </row>
    <row r="38" spans="2:63" s="372" customFormat="1" ht="30" customHeight="1" x14ac:dyDescent="0.35">
      <c r="B38" s="373" t="s">
        <v>471</v>
      </c>
      <c r="C38" s="374" t="s">
        <v>490</v>
      </c>
      <c r="D38" s="375" t="s">
        <v>487</v>
      </c>
      <c r="E38" s="375" t="s">
        <v>487</v>
      </c>
      <c r="F38" s="383">
        <f>7+38/60+49/3600</f>
        <v>7.6469444444444443</v>
      </c>
      <c r="G38" s="383">
        <f>134+38/60+23/3600</f>
        <v>134.63972222222222</v>
      </c>
      <c r="H38" s="383">
        <f>7+38/60+39/3600</f>
        <v>7.6441666666666661</v>
      </c>
      <c r="I38" s="383">
        <f>134+38/60+24/3600</f>
        <v>134.63999999999999</v>
      </c>
      <c r="J38" s="375" t="s">
        <v>99</v>
      </c>
      <c r="K38" s="377">
        <v>2014</v>
      </c>
      <c r="L38" s="375" t="s">
        <v>311</v>
      </c>
      <c r="M38" s="378">
        <v>330</v>
      </c>
      <c r="N38" s="379">
        <v>7.3</v>
      </c>
      <c r="O38" s="375">
        <v>2</v>
      </c>
      <c r="P38" s="375" t="s">
        <v>272</v>
      </c>
      <c r="Q38" s="375" t="s">
        <v>275</v>
      </c>
      <c r="R38" s="375" t="s">
        <v>291</v>
      </c>
      <c r="S38" s="380" t="s">
        <v>489</v>
      </c>
      <c r="T38" s="154">
        <v>5</v>
      </c>
      <c r="U38" s="154">
        <v>5</v>
      </c>
      <c r="V38" s="154">
        <v>5</v>
      </c>
      <c r="W38" s="154">
        <v>5</v>
      </c>
      <c r="X38" s="154">
        <v>4</v>
      </c>
      <c r="Y38" s="154">
        <v>5</v>
      </c>
      <c r="Z38" s="154">
        <f t="shared" si="19"/>
        <v>99</v>
      </c>
      <c r="AA38" s="405">
        <f t="shared" si="2"/>
        <v>165000</v>
      </c>
      <c r="AB38" s="405">
        <f t="shared" si="3"/>
        <v>99000</v>
      </c>
      <c r="AC38" s="407">
        <f t="shared" si="4"/>
        <v>1500</v>
      </c>
      <c r="AD38" s="343"/>
      <c r="AE38" s="343"/>
      <c r="AF38" s="343"/>
      <c r="AG38" s="343"/>
      <c r="AH38" s="381"/>
      <c r="AI38" s="381"/>
      <c r="AJ38" s="381"/>
      <c r="AK38" s="381"/>
      <c r="AW38" s="217">
        <f t="shared" si="5"/>
        <v>5</v>
      </c>
      <c r="AX38" s="217">
        <f t="shared" si="6"/>
        <v>5</v>
      </c>
      <c r="AY38" s="217">
        <f t="shared" si="7"/>
        <v>5</v>
      </c>
      <c r="AZ38" s="217">
        <f t="shared" si="8"/>
        <v>5</v>
      </c>
      <c r="BA38" s="217">
        <f t="shared" si="9"/>
        <v>4</v>
      </c>
      <c r="BB38" s="217">
        <f t="shared" si="10"/>
        <v>5</v>
      </c>
      <c r="BC38" s="217">
        <f t="shared" si="11"/>
        <v>74</v>
      </c>
      <c r="BD38" s="217"/>
      <c r="BE38" s="217">
        <f t="shared" si="12"/>
        <v>5</v>
      </c>
      <c r="BF38" s="217">
        <f t="shared" si="13"/>
        <v>5</v>
      </c>
      <c r="BG38" s="217">
        <f t="shared" si="14"/>
        <v>5</v>
      </c>
      <c r="BH38" s="217">
        <f t="shared" si="15"/>
        <v>5</v>
      </c>
      <c r="BI38" s="217">
        <f t="shared" si="16"/>
        <v>5</v>
      </c>
      <c r="BJ38" s="217">
        <f t="shared" si="17"/>
        <v>5</v>
      </c>
      <c r="BK38" s="217">
        <f t="shared" si="18"/>
        <v>75</v>
      </c>
    </row>
    <row r="39" spans="2:63" s="372" customFormat="1" ht="30" customHeight="1" x14ac:dyDescent="0.35">
      <c r="B39" s="373" t="s">
        <v>472</v>
      </c>
      <c r="C39" s="374" t="s">
        <v>493</v>
      </c>
      <c r="D39" s="375" t="s">
        <v>487</v>
      </c>
      <c r="E39" s="375" t="s">
        <v>487</v>
      </c>
      <c r="F39" s="383">
        <f>7+38/60+39/3600</f>
        <v>7.6441666666666661</v>
      </c>
      <c r="G39" s="383">
        <f>134+38/60+24/3600</f>
        <v>134.63999999999999</v>
      </c>
      <c r="H39" s="383">
        <f>7+38/60+33/3600</f>
        <v>7.6424999999999992</v>
      </c>
      <c r="I39" s="383">
        <f>134+38/60+27/3600</f>
        <v>134.64083333333332</v>
      </c>
      <c r="J39" s="375" t="s">
        <v>99</v>
      </c>
      <c r="K39" s="377">
        <v>2015</v>
      </c>
      <c r="L39" s="375" t="s">
        <v>311</v>
      </c>
      <c r="M39" s="378">
        <v>310</v>
      </c>
      <c r="N39" s="379">
        <v>7.3</v>
      </c>
      <c r="O39" s="375">
        <v>2</v>
      </c>
      <c r="P39" s="375" t="s">
        <v>272</v>
      </c>
      <c r="Q39" s="375" t="s">
        <v>275</v>
      </c>
      <c r="R39" s="375" t="s">
        <v>291</v>
      </c>
      <c r="S39" s="380" t="s">
        <v>489</v>
      </c>
      <c r="T39" s="154">
        <v>5</v>
      </c>
      <c r="U39" s="154">
        <v>5</v>
      </c>
      <c r="V39" s="154">
        <v>5</v>
      </c>
      <c r="W39" s="154">
        <v>5</v>
      </c>
      <c r="X39" s="154">
        <v>4</v>
      </c>
      <c r="Y39" s="154">
        <v>5</v>
      </c>
      <c r="Z39" s="154">
        <f t="shared" si="19"/>
        <v>99</v>
      </c>
      <c r="AA39" s="405">
        <f t="shared" si="2"/>
        <v>155000</v>
      </c>
      <c r="AB39" s="405">
        <f t="shared" si="3"/>
        <v>93000</v>
      </c>
      <c r="AC39" s="407">
        <f t="shared" si="4"/>
        <v>1400</v>
      </c>
      <c r="AD39" s="343"/>
      <c r="AE39" s="343"/>
      <c r="AF39" s="343"/>
      <c r="AG39" s="343"/>
      <c r="AH39" s="381"/>
      <c r="AI39" s="381"/>
      <c r="AJ39" s="381"/>
      <c r="AK39" s="381"/>
      <c r="AW39" s="217">
        <f t="shared" si="5"/>
        <v>5</v>
      </c>
      <c r="AX39" s="217">
        <f t="shared" si="6"/>
        <v>5</v>
      </c>
      <c r="AY39" s="217">
        <f t="shared" si="7"/>
        <v>5</v>
      </c>
      <c r="AZ39" s="217">
        <f t="shared" si="8"/>
        <v>5</v>
      </c>
      <c r="BA39" s="217">
        <f t="shared" si="9"/>
        <v>4</v>
      </c>
      <c r="BB39" s="217">
        <f t="shared" si="10"/>
        <v>5</v>
      </c>
      <c r="BC39" s="217">
        <f t="shared" si="11"/>
        <v>74</v>
      </c>
      <c r="BD39" s="217"/>
      <c r="BE39" s="217">
        <f t="shared" si="12"/>
        <v>5</v>
      </c>
      <c r="BF39" s="217">
        <f t="shared" si="13"/>
        <v>5</v>
      </c>
      <c r="BG39" s="217">
        <f t="shared" si="14"/>
        <v>5</v>
      </c>
      <c r="BH39" s="217">
        <f t="shared" si="15"/>
        <v>5</v>
      </c>
      <c r="BI39" s="217">
        <f t="shared" si="16"/>
        <v>5</v>
      </c>
      <c r="BJ39" s="217">
        <f t="shared" si="17"/>
        <v>5</v>
      </c>
      <c r="BK39" s="217">
        <f t="shared" si="18"/>
        <v>75</v>
      </c>
    </row>
    <row r="40" spans="2:63" s="372" customFormat="1" ht="30" customHeight="1" x14ac:dyDescent="0.35">
      <c r="B40" s="373" t="s">
        <v>473</v>
      </c>
      <c r="C40" s="374" t="s">
        <v>494</v>
      </c>
      <c r="D40" s="375" t="s">
        <v>487</v>
      </c>
      <c r="E40" s="375" t="s">
        <v>487</v>
      </c>
      <c r="F40" s="383">
        <f>7+38/60+33/3600</f>
        <v>7.6424999999999992</v>
      </c>
      <c r="G40" s="383">
        <f>134+38/60+27/3600</f>
        <v>134.64083333333332</v>
      </c>
      <c r="H40" s="383">
        <f>7+38/60+29/3600</f>
        <v>7.6413888888888888</v>
      </c>
      <c r="I40" s="383">
        <f>134+38/60+38/3600</f>
        <v>134.64388888888888</v>
      </c>
      <c r="J40" s="375" t="s">
        <v>99</v>
      </c>
      <c r="K40" s="377">
        <v>2016</v>
      </c>
      <c r="L40" s="375" t="s">
        <v>311</v>
      </c>
      <c r="M40" s="378">
        <v>310</v>
      </c>
      <c r="N40" s="379">
        <v>7.3</v>
      </c>
      <c r="O40" s="375">
        <v>2</v>
      </c>
      <c r="P40" s="375" t="s">
        <v>272</v>
      </c>
      <c r="Q40" s="375" t="s">
        <v>275</v>
      </c>
      <c r="R40" s="375" t="s">
        <v>291</v>
      </c>
      <c r="S40" s="380" t="s">
        <v>489</v>
      </c>
      <c r="T40" s="154">
        <v>5</v>
      </c>
      <c r="U40" s="154">
        <v>5</v>
      </c>
      <c r="V40" s="154">
        <v>5</v>
      </c>
      <c r="W40" s="154">
        <v>5</v>
      </c>
      <c r="X40" s="154">
        <v>4</v>
      </c>
      <c r="Y40" s="154">
        <v>5</v>
      </c>
      <c r="Z40" s="154">
        <f t="shared" si="19"/>
        <v>99</v>
      </c>
      <c r="AA40" s="405">
        <f t="shared" si="2"/>
        <v>155000</v>
      </c>
      <c r="AB40" s="405">
        <f t="shared" si="3"/>
        <v>93000</v>
      </c>
      <c r="AC40" s="407">
        <f t="shared" si="4"/>
        <v>1400</v>
      </c>
      <c r="AD40" s="343"/>
      <c r="AE40" s="343"/>
      <c r="AF40" s="343"/>
      <c r="AG40" s="343"/>
      <c r="AH40" s="381"/>
      <c r="AI40" s="381"/>
      <c r="AJ40" s="381"/>
      <c r="AK40" s="381"/>
      <c r="AW40" s="217">
        <f t="shared" si="5"/>
        <v>5</v>
      </c>
      <c r="AX40" s="217">
        <f t="shared" si="6"/>
        <v>5</v>
      </c>
      <c r="AY40" s="217">
        <f t="shared" si="7"/>
        <v>5</v>
      </c>
      <c r="AZ40" s="217">
        <f t="shared" si="8"/>
        <v>5</v>
      </c>
      <c r="BA40" s="217">
        <f t="shared" si="9"/>
        <v>4</v>
      </c>
      <c r="BB40" s="217">
        <f t="shared" si="10"/>
        <v>5</v>
      </c>
      <c r="BC40" s="217">
        <f t="shared" si="11"/>
        <v>74</v>
      </c>
      <c r="BD40" s="217"/>
      <c r="BE40" s="217">
        <f t="shared" si="12"/>
        <v>5</v>
      </c>
      <c r="BF40" s="217">
        <f t="shared" si="13"/>
        <v>5</v>
      </c>
      <c r="BG40" s="217">
        <f t="shared" si="14"/>
        <v>5</v>
      </c>
      <c r="BH40" s="217">
        <f t="shared" si="15"/>
        <v>5</v>
      </c>
      <c r="BI40" s="217">
        <f t="shared" si="16"/>
        <v>5</v>
      </c>
      <c r="BJ40" s="217">
        <f t="shared" si="17"/>
        <v>5</v>
      </c>
      <c r="BK40" s="217">
        <f t="shared" si="18"/>
        <v>75</v>
      </c>
    </row>
    <row r="41" spans="2:63" s="372" customFormat="1" ht="30" customHeight="1" x14ac:dyDescent="0.35">
      <c r="B41" s="373" t="s">
        <v>474</v>
      </c>
      <c r="C41" s="374" t="s">
        <v>497</v>
      </c>
      <c r="D41" s="375" t="s">
        <v>487</v>
      </c>
      <c r="E41" s="375" t="s">
        <v>487</v>
      </c>
      <c r="F41" s="383">
        <f>7+38/60+29/3600</f>
        <v>7.6413888888888888</v>
      </c>
      <c r="G41" s="383">
        <f>134+38/60+38/3600</f>
        <v>134.64388888888888</v>
      </c>
      <c r="H41" s="383">
        <f>7+38/60+23/3600</f>
        <v>7.6397222222222219</v>
      </c>
      <c r="I41" s="383">
        <f>134+38/60+42/3600</f>
        <v>134.64499999999998</v>
      </c>
      <c r="J41" s="375" t="s">
        <v>99</v>
      </c>
      <c r="K41" s="377">
        <v>2017</v>
      </c>
      <c r="L41" s="375" t="s">
        <v>311</v>
      </c>
      <c r="M41" s="378">
        <v>210</v>
      </c>
      <c r="N41" s="379">
        <v>7.3</v>
      </c>
      <c r="O41" s="375">
        <v>2</v>
      </c>
      <c r="P41" s="375" t="s">
        <v>272</v>
      </c>
      <c r="Q41" s="375" t="s">
        <v>275</v>
      </c>
      <c r="R41" s="375" t="s">
        <v>291</v>
      </c>
      <c r="S41" s="380" t="s">
        <v>489</v>
      </c>
      <c r="T41" s="154">
        <v>5</v>
      </c>
      <c r="U41" s="154">
        <v>5</v>
      </c>
      <c r="V41" s="154">
        <v>5</v>
      </c>
      <c r="W41" s="154">
        <v>5</v>
      </c>
      <c r="X41" s="154">
        <v>4</v>
      </c>
      <c r="Y41" s="154">
        <v>5</v>
      </c>
      <c r="Z41" s="154">
        <f t="shared" si="19"/>
        <v>99</v>
      </c>
      <c r="AA41" s="405">
        <f t="shared" si="2"/>
        <v>105000</v>
      </c>
      <c r="AB41" s="405">
        <f t="shared" si="3"/>
        <v>63000</v>
      </c>
      <c r="AC41" s="407">
        <f t="shared" si="4"/>
        <v>900</v>
      </c>
      <c r="AD41" s="343"/>
      <c r="AE41" s="343"/>
      <c r="AF41" s="343"/>
      <c r="AG41" s="343"/>
      <c r="AH41" s="381"/>
      <c r="AI41" s="381"/>
      <c r="AJ41" s="381"/>
      <c r="AK41" s="381"/>
      <c r="AW41" s="217">
        <f t="shared" si="5"/>
        <v>5</v>
      </c>
      <c r="AX41" s="217">
        <f t="shared" si="6"/>
        <v>5</v>
      </c>
      <c r="AY41" s="217">
        <f t="shared" si="7"/>
        <v>5</v>
      </c>
      <c r="AZ41" s="217">
        <f t="shared" si="8"/>
        <v>5</v>
      </c>
      <c r="BA41" s="217">
        <f t="shared" si="9"/>
        <v>4</v>
      </c>
      <c r="BB41" s="217">
        <f t="shared" si="10"/>
        <v>5</v>
      </c>
      <c r="BC41" s="217">
        <f t="shared" si="11"/>
        <v>74</v>
      </c>
      <c r="BD41" s="217"/>
      <c r="BE41" s="217">
        <f t="shared" si="12"/>
        <v>5</v>
      </c>
      <c r="BF41" s="217">
        <f t="shared" si="13"/>
        <v>5</v>
      </c>
      <c r="BG41" s="217">
        <f t="shared" si="14"/>
        <v>5</v>
      </c>
      <c r="BH41" s="217">
        <f t="shared" si="15"/>
        <v>5</v>
      </c>
      <c r="BI41" s="217">
        <f t="shared" si="16"/>
        <v>5</v>
      </c>
      <c r="BJ41" s="217">
        <f t="shared" si="17"/>
        <v>5</v>
      </c>
      <c r="BK41" s="217">
        <f t="shared" si="18"/>
        <v>75</v>
      </c>
    </row>
    <row r="42" spans="2:63" s="372" customFormat="1" ht="30" customHeight="1" x14ac:dyDescent="0.35">
      <c r="B42" s="373" t="s">
        <v>475</v>
      </c>
      <c r="C42" s="374" t="s">
        <v>499</v>
      </c>
      <c r="D42" s="375" t="s">
        <v>487</v>
      </c>
      <c r="E42" s="375" t="s">
        <v>487</v>
      </c>
      <c r="F42" s="383">
        <f>7+38/60+23/3600</f>
        <v>7.6397222222222219</v>
      </c>
      <c r="G42" s="383">
        <f>134+38/60+42/3600</f>
        <v>134.64499999999998</v>
      </c>
      <c r="H42" s="383">
        <f>7+38/60+10/3600</f>
        <v>7.6361111111111111</v>
      </c>
      <c r="I42" s="383">
        <f>134+38/60+43/3600</f>
        <v>134.64527777777778</v>
      </c>
      <c r="J42" s="375" t="s">
        <v>99</v>
      </c>
      <c r="K42" s="377">
        <v>2019</v>
      </c>
      <c r="L42" s="375" t="s">
        <v>311</v>
      </c>
      <c r="M42" s="378">
        <v>430</v>
      </c>
      <c r="N42" s="379">
        <v>7.3</v>
      </c>
      <c r="O42" s="375">
        <v>2</v>
      </c>
      <c r="P42" s="375" t="s">
        <v>272</v>
      </c>
      <c r="Q42" s="375" t="s">
        <v>275</v>
      </c>
      <c r="R42" s="375" t="s">
        <v>291</v>
      </c>
      <c r="S42" s="380" t="s">
        <v>489</v>
      </c>
      <c r="T42" s="154">
        <v>5</v>
      </c>
      <c r="U42" s="154">
        <v>5</v>
      </c>
      <c r="V42" s="154">
        <v>5</v>
      </c>
      <c r="W42" s="154">
        <v>5</v>
      </c>
      <c r="X42" s="154">
        <v>4</v>
      </c>
      <c r="Y42" s="154">
        <v>5</v>
      </c>
      <c r="Z42" s="154">
        <f t="shared" si="19"/>
        <v>99</v>
      </c>
      <c r="AA42" s="405">
        <f t="shared" si="2"/>
        <v>215000</v>
      </c>
      <c r="AB42" s="405">
        <f t="shared" si="3"/>
        <v>129000</v>
      </c>
      <c r="AC42" s="407">
        <f t="shared" si="4"/>
        <v>1900</v>
      </c>
      <c r="AD42" s="343"/>
      <c r="AE42" s="343"/>
      <c r="AF42" s="343"/>
      <c r="AG42" s="343"/>
      <c r="AH42" s="381"/>
      <c r="AI42" s="381"/>
      <c r="AJ42" s="381"/>
      <c r="AK42" s="381"/>
      <c r="AW42" s="217">
        <f t="shared" si="5"/>
        <v>5</v>
      </c>
      <c r="AX42" s="217">
        <f t="shared" si="6"/>
        <v>5</v>
      </c>
      <c r="AY42" s="217">
        <f t="shared" si="7"/>
        <v>5</v>
      </c>
      <c r="AZ42" s="217">
        <f t="shared" si="8"/>
        <v>5</v>
      </c>
      <c r="BA42" s="217">
        <f t="shared" si="9"/>
        <v>4</v>
      </c>
      <c r="BB42" s="217">
        <f t="shared" si="10"/>
        <v>5</v>
      </c>
      <c r="BC42" s="217">
        <f t="shared" si="11"/>
        <v>74</v>
      </c>
      <c r="BD42" s="217"/>
      <c r="BE42" s="217">
        <f t="shared" si="12"/>
        <v>5</v>
      </c>
      <c r="BF42" s="217">
        <f t="shared" si="13"/>
        <v>5</v>
      </c>
      <c r="BG42" s="217">
        <f t="shared" si="14"/>
        <v>5</v>
      </c>
      <c r="BH42" s="217">
        <f t="shared" si="15"/>
        <v>5</v>
      </c>
      <c r="BI42" s="217">
        <f t="shared" si="16"/>
        <v>5</v>
      </c>
      <c r="BJ42" s="217">
        <f t="shared" si="17"/>
        <v>5</v>
      </c>
      <c r="BK42" s="217">
        <f t="shared" si="18"/>
        <v>75</v>
      </c>
    </row>
    <row r="43" spans="2:63" s="372" customFormat="1" ht="30" customHeight="1" x14ac:dyDescent="0.35">
      <c r="B43" s="373" t="s">
        <v>477</v>
      </c>
      <c r="C43" s="374" t="s">
        <v>500</v>
      </c>
      <c r="D43" s="375" t="s">
        <v>487</v>
      </c>
      <c r="E43" s="375" t="s">
        <v>487</v>
      </c>
      <c r="F43" s="383">
        <f>7+38/60+23/3600</f>
        <v>7.6397222222222219</v>
      </c>
      <c r="G43" s="383">
        <f>134+38/60+42/3600</f>
        <v>134.64499999999998</v>
      </c>
      <c r="H43" s="383">
        <f>7+38/60+10/3600</f>
        <v>7.6361111111111111</v>
      </c>
      <c r="I43" s="383">
        <f>134+38/60+43/3600</f>
        <v>134.64527777777778</v>
      </c>
      <c r="J43" s="375" t="s">
        <v>99</v>
      </c>
      <c r="K43" s="377" t="s">
        <v>502</v>
      </c>
      <c r="L43" s="375" t="s">
        <v>311</v>
      </c>
      <c r="M43" s="378">
        <v>2285</v>
      </c>
      <c r="N43" s="379">
        <v>6.1</v>
      </c>
      <c r="O43" s="375">
        <v>2</v>
      </c>
      <c r="P43" s="375" t="s">
        <v>272</v>
      </c>
      <c r="Q43" s="375" t="s">
        <v>503</v>
      </c>
      <c r="R43" s="375" t="s">
        <v>92</v>
      </c>
      <c r="S43" s="380" t="s">
        <v>92</v>
      </c>
      <c r="T43" s="154">
        <v>3</v>
      </c>
      <c r="U43" s="154">
        <v>2</v>
      </c>
      <c r="V43" s="154">
        <v>1</v>
      </c>
      <c r="W43" s="154">
        <v>1</v>
      </c>
      <c r="X43" s="154">
        <v>1</v>
      </c>
      <c r="Y43" s="154">
        <v>2</v>
      </c>
      <c r="Z43" s="154">
        <f t="shared" si="19"/>
        <v>42</v>
      </c>
      <c r="AA43" s="405">
        <f t="shared" si="2"/>
        <v>1142500</v>
      </c>
      <c r="AB43" s="405">
        <f t="shared" si="3"/>
        <v>685500</v>
      </c>
      <c r="AC43" s="407">
        <f t="shared" si="4"/>
        <v>10300</v>
      </c>
      <c r="AD43" s="343"/>
      <c r="AE43" s="343"/>
      <c r="AF43" s="343"/>
      <c r="AG43" s="343"/>
      <c r="AH43" s="381"/>
      <c r="AI43" s="381">
        <f t="shared" si="22"/>
        <v>685500</v>
      </c>
      <c r="AJ43" s="381">
        <f t="shared" si="24"/>
        <v>228500</v>
      </c>
      <c r="AK43" s="381">
        <f t="shared" ref="AK43:AK59" si="25">$M43*X$2</f>
        <v>114250</v>
      </c>
      <c r="AW43" s="217">
        <f t="shared" si="5"/>
        <v>3</v>
      </c>
      <c r="AX43" s="217">
        <f t="shared" si="6"/>
        <v>2</v>
      </c>
      <c r="AY43" s="217">
        <f t="shared" si="7"/>
        <v>1</v>
      </c>
      <c r="AZ43" s="217">
        <f t="shared" si="8"/>
        <v>1</v>
      </c>
      <c r="BA43" s="217">
        <f t="shared" si="9"/>
        <v>1</v>
      </c>
      <c r="BB43" s="217">
        <f t="shared" si="10"/>
        <v>2</v>
      </c>
      <c r="BC43" s="217">
        <f t="shared" si="11"/>
        <v>31</v>
      </c>
      <c r="BD43" s="217"/>
      <c r="BE43" s="217">
        <f t="shared" si="12"/>
        <v>5</v>
      </c>
      <c r="BF43" s="217">
        <f t="shared" si="13"/>
        <v>5</v>
      </c>
      <c r="BG43" s="217">
        <f t="shared" si="14"/>
        <v>5</v>
      </c>
      <c r="BH43" s="217">
        <f t="shared" si="15"/>
        <v>5</v>
      </c>
      <c r="BI43" s="217">
        <f t="shared" si="16"/>
        <v>5</v>
      </c>
      <c r="BJ43" s="217">
        <f t="shared" si="17"/>
        <v>5</v>
      </c>
      <c r="BK43" s="217">
        <f t="shared" si="18"/>
        <v>75</v>
      </c>
    </row>
    <row r="44" spans="2:63" s="372" customFormat="1" ht="30" customHeight="1" x14ac:dyDescent="0.35">
      <c r="B44" s="373" t="s">
        <v>476</v>
      </c>
      <c r="C44" s="374" t="s">
        <v>982</v>
      </c>
      <c r="D44" s="375" t="s">
        <v>481</v>
      </c>
      <c r="E44" s="375" t="s">
        <v>481</v>
      </c>
      <c r="F44" s="383">
        <f>7+35/60+18/3600</f>
        <v>7.5883333333333329</v>
      </c>
      <c r="G44" s="383">
        <f>134+38/60+19/3600</f>
        <v>134.63861111111112</v>
      </c>
      <c r="H44" s="383">
        <f>7+35/60+26/3600</f>
        <v>7.5905555555555555</v>
      </c>
      <c r="I44" s="383">
        <f>134+38/60+24/3600</f>
        <v>134.63999999999999</v>
      </c>
      <c r="J44" s="375" t="s">
        <v>277</v>
      </c>
      <c r="K44" s="377">
        <v>2002</v>
      </c>
      <c r="L44" s="375" t="s">
        <v>311</v>
      </c>
      <c r="M44" s="378">
        <v>365</v>
      </c>
      <c r="N44" s="379">
        <v>6.1</v>
      </c>
      <c r="O44" s="375">
        <v>2</v>
      </c>
      <c r="P44" s="375" t="s">
        <v>272</v>
      </c>
      <c r="Q44" s="375" t="s">
        <v>275</v>
      </c>
      <c r="R44" s="375" t="s">
        <v>291</v>
      </c>
      <c r="S44" s="380" t="s">
        <v>271</v>
      </c>
      <c r="T44" s="154">
        <v>5</v>
      </c>
      <c r="U44" s="154">
        <v>4</v>
      </c>
      <c r="V44" s="154">
        <v>5</v>
      </c>
      <c r="W44" s="154">
        <v>5</v>
      </c>
      <c r="X44" s="154">
        <v>4</v>
      </c>
      <c r="Y44" s="154">
        <v>5</v>
      </c>
      <c r="Z44" s="154">
        <f t="shared" si="19"/>
        <v>94</v>
      </c>
      <c r="AA44" s="405">
        <f t="shared" si="2"/>
        <v>182500</v>
      </c>
      <c r="AB44" s="405">
        <f t="shared" si="3"/>
        <v>109500</v>
      </c>
      <c r="AC44" s="407">
        <f t="shared" si="4"/>
        <v>1600</v>
      </c>
      <c r="AD44" s="343"/>
      <c r="AE44" s="343"/>
      <c r="AF44" s="343"/>
      <c r="AG44" s="343"/>
      <c r="AH44" s="381"/>
      <c r="AI44" s="381"/>
      <c r="AJ44" s="381"/>
      <c r="AK44" s="381"/>
      <c r="AW44" s="217">
        <f t="shared" si="5"/>
        <v>5</v>
      </c>
      <c r="AX44" s="217">
        <f t="shared" si="6"/>
        <v>4</v>
      </c>
      <c r="AY44" s="217">
        <f t="shared" si="7"/>
        <v>5</v>
      </c>
      <c r="AZ44" s="217">
        <f t="shared" si="8"/>
        <v>5</v>
      </c>
      <c r="BA44" s="217">
        <f t="shared" si="9"/>
        <v>4</v>
      </c>
      <c r="BB44" s="217">
        <f t="shared" si="10"/>
        <v>5</v>
      </c>
      <c r="BC44" s="217">
        <f t="shared" si="11"/>
        <v>70</v>
      </c>
      <c r="BD44" s="217"/>
      <c r="BE44" s="217">
        <f t="shared" si="12"/>
        <v>5</v>
      </c>
      <c r="BF44" s="217">
        <f t="shared" si="13"/>
        <v>5</v>
      </c>
      <c r="BG44" s="217">
        <f t="shared" si="14"/>
        <v>5</v>
      </c>
      <c r="BH44" s="217">
        <f t="shared" si="15"/>
        <v>5</v>
      </c>
      <c r="BI44" s="217">
        <f t="shared" si="16"/>
        <v>5</v>
      </c>
      <c r="BJ44" s="217">
        <f t="shared" si="17"/>
        <v>5</v>
      </c>
      <c r="BK44" s="217">
        <f t="shared" si="18"/>
        <v>75</v>
      </c>
    </row>
    <row r="45" spans="2:63" s="372" customFormat="1" ht="30" customHeight="1" x14ac:dyDescent="0.35">
      <c r="B45" s="373" t="s">
        <v>478</v>
      </c>
      <c r="C45" s="374" t="s">
        <v>981</v>
      </c>
      <c r="D45" s="375" t="s">
        <v>481</v>
      </c>
      <c r="E45" s="375" t="s">
        <v>481</v>
      </c>
      <c r="F45" s="383">
        <f>7+35/60+26/3600</f>
        <v>7.5905555555555555</v>
      </c>
      <c r="G45" s="383">
        <f>134+38/60+24/3600</f>
        <v>134.63999999999999</v>
      </c>
      <c r="H45" s="383">
        <f>7+35/60+36/3600</f>
        <v>7.5933333333333328</v>
      </c>
      <c r="I45" s="383">
        <f>134+38/60+22/3600</f>
        <v>134.63944444444445</v>
      </c>
      <c r="J45" s="375" t="s">
        <v>277</v>
      </c>
      <c r="K45" s="377">
        <v>2004</v>
      </c>
      <c r="L45" s="375" t="s">
        <v>311</v>
      </c>
      <c r="M45" s="378">
        <v>305</v>
      </c>
      <c r="N45" s="379">
        <v>6.1</v>
      </c>
      <c r="O45" s="375">
        <v>2</v>
      </c>
      <c r="P45" s="375" t="s">
        <v>83</v>
      </c>
      <c r="Q45" s="375" t="s">
        <v>275</v>
      </c>
      <c r="R45" s="375" t="s">
        <v>291</v>
      </c>
      <c r="S45" s="380" t="s">
        <v>271</v>
      </c>
      <c r="T45" s="154">
        <v>5</v>
      </c>
      <c r="U45" s="154">
        <v>4</v>
      </c>
      <c r="V45" s="154">
        <v>5</v>
      </c>
      <c r="W45" s="154">
        <v>5</v>
      </c>
      <c r="X45" s="154">
        <v>4</v>
      </c>
      <c r="Y45" s="154">
        <v>5</v>
      </c>
      <c r="Z45" s="154">
        <f t="shared" si="19"/>
        <v>94</v>
      </c>
      <c r="AA45" s="405">
        <f t="shared" si="2"/>
        <v>152500</v>
      </c>
      <c r="AB45" s="405">
        <f t="shared" si="3"/>
        <v>91500</v>
      </c>
      <c r="AC45" s="407">
        <f t="shared" si="4"/>
        <v>1400</v>
      </c>
      <c r="AD45" s="343"/>
      <c r="AE45" s="343"/>
      <c r="AF45" s="343"/>
      <c r="AG45" s="343"/>
      <c r="AH45" s="381"/>
      <c r="AI45" s="381"/>
      <c r="AJ45" s="381"/>
      <c r="AK45" s="381"/>
      <c r="AW45" s="217">
        <f t="shared" si="5"/>
        <v>5</v>
      </c>
      <c r="AX45" s="217">
        <f t="shared" si="6"/>
        <v>4</v>
      </c>
      <c r="AY45" s="217">
        <f t="shared" si="7"/>
        <v>5</v>
      </c>
      <c r="AZ45" s="217">
        <f t="shared" si="8"/>
        <v>5</v>
      </c>
      <c r="BA45" s="217">
        <f t="shared" si="9"/>
        <v>4</v>
      </c>
      <c r="BB45" s="217">
        <f t="shared" si="10"/>
        <v>5</v>
      </c>
      <c r="BC45" s="217">
        <f t="shared" si="11"/>
        <v>70</v>
      </c>
      <c r="BD45" s="217"/>
      <c r="BE45" s="217">
        <f t="shared" si="12"/>
        <v>5</v>
      </c>
      <c r="BF45" s="217">
        <f t="shared" si="13"/>
        <v>5</v>
      </c>
      <c r="BG45" s="217">
        <f t="shared" si="14"/>
        <v>5</v>
      </c>
      <c r="BH45" s="217">
        <f t="shared" si="15"/>
        <v>5</v>
      </c>
      <c r="BI45" s="217">
        <f t="shared" si="16"/>
        <v>5</v>
      </c>
      <c r="BJ45" s="217">
        <f t="shared" si="17"/>
        <v>5</v>
      </c>
      <c r="BK45" s="217">
        <f t="shared" si="18"/>
        <v>75</v>
      </c>
    </row>
    <row r="46" spans="2:63" s="372" customFormat="1" ht="30" customHeight="1" x14ac:dyDescent="0.35">
      <c r="B46" s="373" t="s">
        <v>480</v>
      </c>
      <c r="C46" s="374" t="s">
        <v>980</v>
      </c>
      <c r="D46" s="375" t="s">
        <v>481</v>
      </c>
      <c r="E46" s="375" t="s">
        <v>481</v>
      </c>
      <c r="F46" s="383">
        <f>7+35/60+36/3600</f>
        <v>7.5933333333333328</v>
      </c>
      <c r="G46" s="383">
        <f>134+38/60+22/3600</f>
        <v>134.63944444444445</v>
      </c>
      <c r="H46" s="383">
        <f>7+35/60+48/3600</f>
        <v>7.5966666666666667</v>
      </c>
      <c r="I46" s="383">
        <f>134+38/60+15/3600</f>
        <v>134.63749999999999</v>
      </c>
      <c r="J46" s="375" t="s">
        <v>277</v>
      </c>
      <c r="K46" s="377">
        <v>2005</v>
      </c>
      <c r="L46" s="375" t="s">
        <v>311</v>
      </c>
      <c r="M46" s="378">
        <v>450</v>
      </c>
      <c r="N46" s="379">
        <v>6.1</v>
      </c>
      <c r="O46" s="375">
        <v>2</v>
      </c>
      <c r="P46" s="375" t="s">
        <v>83</v>
      </c>
      <c r="Q46" s="375" t="s">
        <v>275</v>
      </c>
      <c r="R46" s="375" t="s">
        <v>291</v>
      </c>
      <c r="S46" s="380" t="s">
        <v>271</v>
      </c>
      <c r="T46" s="154">
        <v>5</v>
      </c>
      <c r="U46" s="154">
        <v>4</v>
      </c>
      <c r="V46" s="154">
        <v>5</v>
      </c>
      <c r="W46" s="154">
        <v>5</v>
      </c>
      <c r="X46" s="154">
        <v>4</v>
      </c>
      <c r="Y46" s="154">
        <v>5</v>
      </c>
      <c r="Z46" s="154">
        <f t="shared" si="19"/>
        <v>94</v>
      </c>
      <c r="AA46" s="405">
        <f t="shared" si="2"/>
        <v>225000</v>
      </c>
      <c r="AB46" s="405">
        <f t="shared" si="3"/>
        <v>135000</v>
      </c>
      <c r="AC46" s="407">
        <f t="shared" si="4"/>
        <v>2000</v>
      </c>
      <c r="AD46" s="343"/>
      <c r="AE46" s="343"/>
      <c r="AF46" s="343"/>
      <c r="AG46" s="343"/>
      <c r="AH46" s="381"/>
      <c r="AI46" s="381"/>
      <c r="AJ46" s="381"/>
      <c r="AK46" s="381"/>
      <c r="AW46" s="217">
        <f t="shared" si="5"/>
        <v>5</v>
      </c>
      <c r="AX46" s="217">
        <f t="shared" si="6"/>
        <v>4</v>
      </c>
      <c r="AY46" s="217">
        <f t="shared" si="7"/>
        <v>5</v>
      </c>
      <c r="AZ46" s="217">
        <f t="shared" si="8"/>
        <v>5</v>
      </c>
      <c r="BA46" s="217">
        <f t="shared" si="9"/>
        <v>4</v>
      </c>
      <c r="BB46" s="217">
        <f t="shared" si="10"/>
        <v>5</v>
      </c>
      <c r="BC46" s="217">
        <f t="shared" si="11"/>
        <v>70</v>
      </c>
      <c r="BD46" s="217"/>
      <c r="BE46" s="217">
        <f t="shared" si="12"/>
        <v>5</v>
      </c>
      <c r="BF46" s="217">
        <f t="shared" si="13"/>
        <v>5</v>
      </c>
      <c r="BG46" s="217">
        <f t="shared" si="14"/>
        <v>5</v>
      </c>
      <c r="BH46" s="217">
        <f t="shared" si="15"/>
        <v>5</v>
      </c>
      <c r="BI46" s="217">
        <f t="shared" si="16"/>
        <v>5</v>
      </c>
      <c r="BJ46" s="217">
        <f t="shared" si="17"/>
        <v>5</v>
      </c>
      <c r="BK46" s="217">
        <f t="shared" si="18"/>
        <v>75</v>
      </c>
    </row>
    <row r="47" spans="2:63" s="372" customFormat="1" ht="30" customHeight="1" x14ac:dyDescent="0.35">
      <c r="B47" s="373" t="s">
        <v>484</v>
      </c>
      <c r="C47" s="374" t="s">
        <v>979</v>
      </c>
      <c r="D47" s="375" t="s">
        <v>481</v>
      </c>
      <c r="E47" s="375" t="s">
        <v>481</v>
      </c>
      <c r="F47" s="383">
        <f>7+35/60+48/3600</f>
        <v>7.5966666666666667</v>
      </c>
      <c r="G47" s="383">
        <f>134+38/60+15/3600</f>
        <v>134.63749999999999</v>
      </c>
      <c r="H47" s="383">
        <f>7+35/60+28/3600</f>
        <v>7.5911111111111111</v>
      </c>
      <c r="I47" s="383">
        <f>134+37/60+55/3600</f>
        <v>134.63194444444446</v>
      </c>
      <c r="J47" s="375" t="s">
        <v>277</v>
      </c>
      <c r="K47" s="377">
        <v>2006</v>
      </c>
      <c r="L47" s="375" t="s">
        <v>311</v>
      </c>
      <c r="M47" s="378">
        <v>460</v>
      </c>
      <c r="N47" s="379">
        <v>6.1</v>
      </c>
      <c r="O47" s="375">
        <v>2</v>
      </c>
      <c r="P47" s="375" t="s">
        <v>272</v>
      </c>
      <c r="Q47" s="375" t="s">
        <v>275</v>
      </c>
      <c r="R47" s="375" t="s">
        <v>291</v>
      </c>
      <c r="S47" s="380" t="s">
        <v>271</v>
      </c>
      <c r="T47" s="154">
        <v>5</v>
      </c>
      <c r="U47" s="154">
        <v>3</v>
      </c>
      <c r="V47" s="154">
        <v>4</v>
      </c>
      <c r="W47" s="154">
        <v>5</v>
      </c>
      <c r="X47" s="154">
        <v>4</v>
      </c>
      <c r="Y47" s="154">
        <v>5</v>
      </c>
      <c r="Z47" s="154">
        <f t="shared" si="19"/>
        <v>87</v>
      </c>
      <c r="AA47" s="405">
        <f t="shared" si="2"/>
        <v>230000</v>
      </c>
      <c r="AB47" s="405">
        <f t="shared" si="3"/>
        <v>138000</v>
      </c>
      <c r="AC47" s="407">
        <f t="shared" si="4"/>
        <v>2100</v>
      </c>
      <c r="AD47" s="343"/>
      <c r="AE47" s="343"/>
      <c r="AF47" s="343"/>
      <c r="AG47" s="343"/>
      <c r="AH47" s="381"/>
      <c r="AI47" s="381"/>
      <c r="AJ47" s="381"/>
      <c r="AK47" s="381"/>
      <c r="AW47" s="217">
        <f t="shared" si="5"/>
        <v>5</v>
      </c>
      <c r="AX47" s="217">
        <f t="shared" si="6"/>
        <v>3</v>
      </c>
      <c r="AY47" s="217">
        <f t="shared" si="7"/>
        <v>4</v>
      </c>
      <c r="AZ47" s="217">
        <f t="shared" si="8"/>
        <v>5</v>
      </c>
      <c r="BA47" s="217">
        <f t="shared" si="9"/>
        <v>4</v>
      </c>
      <c r="BB47" s="217">
        <f t="shared" si="10"/>
        <v>5</v>
      </c>
      <c r="BC47" s="217">
        <f t="shared" si="11"/>
        <v>65</v>
      </c>
      <c r="BD47" s="217"/>
      <c r="BE47" s="217">
        <f t="shared" si="12"/>
        <v>5</v>
      </c>
      <c r="BF47" s="217">
        <f t="shared" si="13"/>
        <v>5</v>
      </c>
      <c r="BG47" s="217">
        <f t="shared" si="14"/>
        <v>5</v>
      </c>
      <c r="BH47" s="217">
        <f t="shared" si="15"/>
        <v>5</v>
      </c>
      <c r="BI47" s="217">
        <f t="shared" si="16"/>
        <v>5</v>
      </c>
      <c r="BJ47" s="217">
        <f t="shared" si="17"/>
        <v>5</v>
      </c>
      <c r="BK47" s="217">
        <f t="shared" si="18"/>
        <v>75</v>
      </c>
    </row>
    <row r="48" spans="2:63" s="372" customFormat="1" ht="30" customHeight="1" x14ac:dyDescent="0.35">
      <c r="B48" s="373" t="s">
        <v>485</v>
      </c>
      <c r="C48" s="374" t="s">
        <v>978</v>
      </c>
      <c r="D48" s="375" t="s">
        <v>481</v>
      </c>
      <c r="E48" s="375" t="s">
        <v>481</v>
      </c>
      <c r="F48" s="383">
        <f>7+35/60+28/3600</f>
        <v>7.5911111111111111</v>
      </c>
      <c r="G48" s="383">
        <f>134+37/60+55/3600</f>
        <v>134.63194444444446</v>
      </c>
      <c r="H48" s="383">
        <f>7+35/60+40/3600</f>
        <v>7.5944444444444441</v>
      </c>
      <c r="I48" s="383">
        <f>134+38/60+7/3600</f>
        <v>134.63527777777776</v>
      </c>
      <c r="J48" s="375" t="s">
        <v>277</v>
      </c>
      <c r="K48" s="377">
        <v>2006</v>
      </c>
      <c r="L48" s="375" t="s">
        <v>311</v>
      </c>
      <c r="M48" s="378">
        <v>1070</v>
      </c>
      <c r="N48" s="379">
        <v>6.1</v>
      </c>
      <c r="O48" s="375">
        <v>2</v>
      </c>
      <c r="P48" s="375" t="s">
        <v>272</v>
      </c>
      <c r="Q48" s="375" t="s">
        <v>275</v>
      </c>
      <c r="R48" s="375" t="s">
        <v>291</v>
      </c>
      <c r="S48" s="380" t="s">
        <v>92</v>
      </c>
      <c r="T48" s="154">
        <v>5</v>
      </c>
      <c r="U48" s="154">
        <v>5</v>
      </c>
      <c r="V48" s="154">
        <v>5</v>
      </c>
      <c r="W48" s="154">
        <v>5</v>
      </c>
      <c r="X48" s="154" t="s">
        <v>311</v>
      </c>
      <c r="Y48" s="154">
        <v>5</v>
      </c>
      <c r="Z48" s="154">
        <f t="shared" si="19"/>
        <v>100</v>
      </c>
      <c r="AA48" s="405">
        <f t="shared" si="2"/>
        <v>535000</v>
      </c>
      <c r="AB48" s="405">
        <f t="shared" si="3"/>
        <v>321000</v>
      </c>
      <c r="AC48" s="407">
        <f t="shared" si="4"/>
        <v>4800</v>
      </c>
      <c r="AD48" s="343"/>
      <c r="AE48" s="343"/>
      <c r="AF48" s="343"/>
      <c r="AG48" s="343"/>
      <c r="AH48" s="381"/>
      <c r="AI48" s="381"/>
      <c r="AJ48" s="381"/>
      <c r="AK48" s="381"/>
      <c r="AW48" s="217">
        <f t="shared" si="5"/>
        <v>5</v>
      </c>
      <c r="AX48" s="217">
        <f t="shared" si="6"/>
        <v>5</v>
      </c>
      <c r="AY48" s="217">
        <f t="shared" si="7"/>
        <v>5</v>
      </c>
      <c r="AZ48" s="217">
        <f t="shared" si="8"/>
        <v>5</v>
      </c>
      <c r="BA48" s="217">
        <f t="shared" si="9"/>
        <v>0</v>
      </c>
      <c r="BB48" s="217">
        <f t="shared" si="10"/>
        <v>5</v>
      </c>
      <c r="BC48" s="217">
        <f t="shared" si="11"/>
        <v>70</v>
      </c>
      <c r="BD48" s="217"/>
      <c r="BE48" s="217">
        <f t="shared" si="12"/>
        <v>5</v>
      </c>
      <c r="BF48" s="217">
        <f t="shared" si="13"/>
        <v>5</v>
      </c>
      <c r="BG48" s="217">
        <f t="shared" si="14"/>
        <v>5</v>
      </c>
      <c r="BH48" s="217">
        <f t="shared" si="15"/>
        <v>5</v>
      </c>
      <c r="BI48" s="217">
        <f t="shared" si="16"/>
        <v>0</v>
      </c>
      <c r="BJ48" s="217">
        <f t="shared" si="17"/>
        <v>5</v>
      </c>
      <c r="BK48" s="217">
        <f t="shared" si="18"/>
        <v>70</v>
      </c>
    </row>
    <row r="49" spans="2:63" s="372" customFormat="1" ht="30" customHeight="1" x14ac:dyDescent="0.35">
      <c r="B49" s="373" t="s">
        <v>491</v>
      </c>
      <c r="C49" s="374" t="s">
        <v>483</v>
      </c>
      <c r="D49" s="375" t="s">
        <v>481</v>
      </c>
      <c r="E49" s="375" t="s">
        <v>481</v>
      </c>
      <c r="F49" s="383">
        <f>7+35/60+24/3600</f>
        <v>7.59</v>
      </c>
      <c r="G49" s="383">
        <f>134+37/60+40/3600</f>
        <v>134.62777777777779</v>
      </c>
      <c r="H49" s="383">
        <f>7+35/60+28/3600</f>
        <v>7.5911111111111111</v>
      </c>
      <c r="I49" s="383">
        <f>134+37/60+55/3600</f>
        <v>134.63194444444446</v>
      </c>
      <c r="J49" s="375" t="s">
        <v>277</v>
      </c>
      <c r="K49" s="377">
        <v>2011</v>
      </c>
      <c r="L49" s="375" t="s">
        <v>311</v>
      </c>
      <c r="M49" s="378">
        <v>565</v>
      </c>
      <c r="N49" s="379">
        <v>6.1</v>
      </c>
      <c r="O49" s="375">
        <v>2</v>
      </c>
      <c r="P49" s="375" t="s">
        <v>272</v>
      </c>
      <c r="Q49" s="375" t="s">
        <v>275</v>
      </c>
      <c r="R49" s="375" t="s">
        <v>291</v>
      </c>
      <c r="S49" s="380" t="s">
        <v>271</v>
      </c>
      <c r="T49" s="154">
        <v>5</v>
      </c>
      <c r="U49" s="154">
        <v>4</v>
      </c>
      <c r="V49" s="154">
        <v>5</v>
      </c>
      <c r="W49" s="154">
        <v>4</v>
      </c>
      <c r="X49" s="154">
        <v>4</v>
      </c>
      <c r="Y49" s="154">
        <v>5</v>
      </c>
      <c r="Z49" s="154">
        <f t="shared" si="19"/>
        <v>92</v>
      </c>
      <c r="AA49" s="405">
        <f t="shared" si="2"/>
        <v>282500</v>
      </c>
      <c r="AB49" s="405">
        <f t="shared" si="3"/>
        <v>169500</v>
      </c>
      <c r="AC49" s="407">
        <f t="shared" si="4"/>
        <v>2500</v>
      </c>
      <c r="AD49" s="343"/>
      <c r="AE49" s="343"/>
      <c r="AF49" s="343"/>
      <c r="AG49" s="343"/>
      <c r="AH49" s="381"/>
      <c r="AI49" s="381"/>
      <c r="AJ49" s="381"/>
      <c r="AK49" s="381"/>
      <c r="AW49" s="217">
        <f t="shared" si="5"/>
        <v>5</v>
      </c>
      <c r="AX49" s="217">
        <f t="shared" si="6"/>
        <v>4</v>
      </c>
      <c r="AY49" s="217">
        <f t="shared" si="7"/>
        <v>5</v>
      </c>
      <c r="AZ49" s="217">
        <f t="shared" si="8"/>
        <v>4</v>
      </c>
      <c r="BA49" s="217">
        <f t="shared" si="9"/>
        <v>4</v>
      </c>
      <c r="BB49" s="217">
        <f t="shared" si="10"/>
        <v>5</v>
      </c>
      <c r="BC49" s="217">
        <f t="shared" si="11"/>
        <v>69</v>
      </c>
      <c r="BD49" s="217"/>
      <c r="BE49" s="217">
        <f t="shared" si="12"/>
        <v>5</v>
      </c>
      <c r="BF49" s="217">
        <f t="shared" si="13"/>
        <v>5</v>
      </c>
      <c r="BG49" s="217">
        <f t="shared" si="14"/>
        <v>5</v>
      </c>
      <c r="BH49" s="217">
        <f t="shared" si="15"/>
        <v>5</v>
      </c>
      <c r="BI49" s="217">
        <f t="shared" si="16"/>
        <v>5</v>
      </c>
      <c r="BJ49" s="217">
        <f t="shared" si="17"/>
        <v>5</v>
      </c>
      <c r="BK49" s="217">
        <f t="shared" si="18"/>
        <v>75</v>
      </c>
    </row>
    <row r="50" spans="2:63" s="372" customFormat="1" ht="30" customHeight="1" x14ac:dyDescent="0.35">
      <c r="B50" s="373" t="s">
        <v>492</v>
      </c>
      <c r="C50" s="374" t="s">
        <v>977</v>
      </c>
      <c r="D50" s="375" t="s">
        <v>974</v>
      </c>
      <c r="E50" s="375" t="s">
        <v>974</v>
      </c>
      <c r="F50" s="383">
        <f>7+38/60+32/3600</f>
        <v>7.6422222222222214</v>
      </c>
      <c r="G50" s="383">
        <f>134+37/60+54/3600</f>
        <v>134.63166666666666</v>
      </c>
      <c r="H50" s="383">
        <f>7+37/60+49/3600</f>
        <v>7.6302777777777786</v>
      </c>
      <c r="I50" s="383">
        <f>134+38/60+17/3600</f>
        <v>134.63805555555555</v>
      </c>
      <c r="J50" s="375" t="s">
        <v>277</v>
      </c>
      <c r="K50" s="377">
        <v>2006</v>
      </c>
      <c r="L50" s="375" t="s">
        <v>311</v>
      </c>
      <c r="M50" s="378">
        <v>1830</v>
      </c>
      <c r="N50" s="379">
        <v>5.5</v>
      </c>
      <c r="O50" s="375">
        <v>2</v>
      </c>
      <c r="P50" s="375" t="s">
        <v>83</v>
      </c>
      <c r="Q50" s="375" t="s">
        <v>275</v>
      </c>
      <c r="R50" s="375" t="s">
        <v>291</v>
      </c>
      <c r="S50" s="380" t="s">
        <v>92</v>
      </c>
      <c r="T50" s="154">
        <v>5</v>
      </c>
      <c r="U50" s="154">
        <v>4</v>
      </c>
      <c r="V50" s="154">
        <v>4</v>
      </c>
      <c r="W50" s="154">
        <v>5</v>
      </c>
      <c r="X50" s="154" t="s">
        <v>311</v>
      </c>
      <c r="Y50" s="154">
        <v>5</v>
      </c>
      <c r="Z50" s="154">
        <f t="shared" si="19"/>
        <v>93</v>
      </c>
      <c r="AA50" s="405">
        <f t="shared" si="2"/>
        <v>915000</v>
      </c>
      <c r="AB50" s="405">
        <f t="shared" si="3"/>
        <v>549000</v>
      </c>
      <c r="AC50" s="407">
        <f t="shared" si="4"/>
        <v>8200</v>
      </c>
      <c r="AD50" s="343"/>
      <c r="AE50" s="343"/>
      <c r="AF50" s="343"/>
      <c r="AG50" s="343"/>
      <c r="AH50" s="381"/>
      <c r="AI50" s="381"/>
      <c r="AJ50" s="381"/>
      <c r="AK50" s="381"/>
      <c r="AW50" s="217">
        <f t="shared" si="5"/>
        <v>5</v>
      </c>
      <c r="AX50" s="217">
        <f t="shared" si="6"/>
        <v>4</v>
      </c>
      <c r="AY50" s="217">
        <f t="shared" si="7"/>
        <v>4</v>
      </c>
      <c r="AZ50" s="217">
        <f t="shared" si="8"/>
        <v>5</v>
      </c>
      <c r="BA50" s="217">
        <f t="shared" si="9"/>
        <v>0</v>
      </c>
      <c r="BB50" s="217">
        <f t="shared" si="10"/>
        <v>5</v>
      </c>
      <c r="BC50" s="217">
        <f t="shared" si="11"/>
        <v>65</v>
      </c>
      <c r="BD50" s="217"/>
      <c r="BE50" s="217">
        <f t="shared" si="12"/>
        <v>5</v>
      </c>
      <c r="BF50" s="217">
        <f t="shared" si="13"/>
        <v>5</v>
      </c>
      <c r="BG50" s="217">
        <f t="shared" si="14"/>
        <v>5</v>
      </c>
      <c r="BH50" s="217">
        <f t="shared" si="15"/>
        <v>5</v>
      </c>
      <c r="BI50" s="217">
        <f t="shared" si="16"/>
        <v>0</v>
      </c>
      <c r="BJ50" s="217">
        <f t="shared" si="17"/>
        <v>5</v>
      </c>
      <c r="BK50" s="217">
        <f t="shared" si="18"/>
        <v>70</v>
      </c>
    </row>
    <row r="51" spans="2:63" s="372" customFormat="1" ht="30" customHeight="1" x14ac:dyDescent="0.35">
      <c r="B51" s="373" t="s">
        <v>495</v>
      </c>
      <c r="C51" s="374" t="s">
        <v>976</v>
      </c>
      <c r="D51" s="375" t="s">
        <v>974</v>
      </c>
      <c r="E51" s="375" t="s">
        <v>974</v>
      </c>
      <c r="F51" s="375"/>
      <c r="G51" s="375"/>
      <c r="H51" s="375"/>
      <c r="I51" s="375"/>
      <c r="J51" s="375" t="s">
        <v>277</v>
      </c>
      <c r="K51" s="377">
        <v>2007</v>
      </c>
      <c r="L51" s="375" t="s">
        <v>311</v>
      </c>
      <c r="M51" s="378">
        <v>510</v>
      </c>
      <c r="N51" s="379">
        <v>5.5</v>
      </c>
      <c r="O51" s="375">
        <v>2</v>
      </c>
      <c r="P51" s="375" t="s">
        <v>83</v>
      </c>
      <c r="Q51" s="375" t="s">
        <v>275</v>
      </c>
      <c r="R51" s="375" t="s">
        <v>291</v>
      </c>
      <c r="S51" s="380" t="s">
        <v>92</v>
      </c>
      <c r="T51" s="154">
        <v>5</v>
      </c>
      <c r="U51" s="154">
        <v>4</v>
      </c>
      <c r="V51" s="154">
        <v>4</v>
      </c>
      <c r="W51" s="154">
        <v>4</v>
      </c>
      <c r="X51" s="154" t="s">
        <v>311</v>
      </c>
      <c r="Y51" s="154">
        <v>5</v>
      </c>
      <c r="Z51" s="154">
        <f t="shared" si="19"/>
        <v>92</v>
      </c>
      <c r="AA51" s="405">
        <f t="shared" si="2"/>
        <v>255000</v>
      </c>
      <c r="AB51" s="405">
        <f t="shared" si="3"/>
        <v>153000</v>
      </c>
      <c r="AC51" s="407">
        <f t="shared" si="4"/>
        <v>2300</v>
      </c>
      <c r="AD51" s="343"/>
      <c r="AE51" s="343"/>
      <c r="AF51" s="343"/>
      <c r="AG51" s="343"/>
      <c r="AH51" s="381"/>
      <c r="AI51" s="381"/>
      <c r="AJ51" s="381"/>
      <c r="AK51" s="381"/>
      <c r="AW51" s="217">
        <f t="shared" si="5"/>
        <v>5</v>
      </c>
      <c r="AX51" s="217">
        <f t="shared" si="6"/>
        <v>4</v>
      </c>
      <c r="AY51" s="217">
        <f t="shared" si="7"/>
        <v>4</v>
      </c>
      <c r="AZ51" s="217">
        <f t="shared" si="8"/>
        <v>4</v>
      </c>
      <c r="BA51" s="217">
        <f t="shared" si="9"/>
        <v>0</v>
      </c>
      <c r="BB51" s="217">
        <f t="shared" si="10"/>
        <v>5</v>
      </c>
      <c r="BC51" s="217">
        <f t="shared" si="11"/>
        <v>64</v>
      </c>
      <c r="BD51" s="217"/>
      <c r="BE51" s="217">
        <f t="shared" si="12"/>
        <v>5</v>
      </c>
      <c r="BF51" s="217">
        <f t="shared" si="13"/>
        <v>5</v>
      </c>
      <c r="BG51" s="217">
        <f t="shared" si="14"/>
        <v>5</v>
      </c>
      <c r="BH51" s="217">
        <f t="shared" si="15"/>
        <v>5</v>
      </c>
      <c r="BI51" s="217">
        <f t="shared" si="16"/>
        <v>0</v>
      </c>
      <c r="BJ51" s="217">
        <f t="shared" si="17"/>
        <v>5</v>
      </c>
      <c r="BK51" s="217">
        <f t="shared" si="18"/>
        <v>70</v>
      </c>
    </row>
    <row r="52" spans="2:63" s="372" customFormat="1" ht="30" customHeight="1" x14ac:dyDescent="0.35">
      <c r="B52" s="373" t="s">
        <v>496</v>
      </c>
      <c r="C52" s="374" t="s">
        <v>975</v>
      </c>
      <c r="D52" s="375" t="s">
        <v>974</v>
      </c>
      <c r="E52" s="375" t="s">
        <v>479</v>
      </c>
      <c r="F52" s="383">
        <f>7+37/60+49/3600</f>
        <v>7.6302777777777786</v>
      </c>
      <c r="G52" s="383">
        <f>134+38/60+17/3600</f>
        <v>134.63805555555555</v>
      </c>
      <c r="H52" s="383">
        <f>7+37/60+32/3600</f>
        <v>7.6255555555555556</v>
      </c>
      <c r="I52" s="383">
        <f>134+38/60+18/3600</f>
        <v>134.63833333333332</v>
      </c>
      <c r="J52" s="375" t="s">
        <v>277</v>
      </c>
      <c r="K52" s="377">
        <v>2008</v>
      </c>
      <c r="L52" s="375" t="s">
        <v>311</v>
      </c>
      <c r="M52" s="378">
        <v>700</v>
      </c>
      <c r="N52" s="379">
        <v>5.5</v>
      </c>
      <c r="O52" s="375">
        <v>2</v>
      </c>
      <c r="P52" s="375" t="s">
        <v>83</v>
      </c>
      <c r="Q52" s="375" t="s">
        <v>275</v>
      </c>
      <c r="R52" s="375" t="s">
        <v>291</v>
      </c>
      <c r="S52" s="380" t="s">
        <v>92</v>
      </c>
      <c r="T52" s="154">
        <v>5</v>
      </c>
      <c r="U52" s="154">
        <v>5</v>
      </c>
      <c r="V52" s="154">
        <v>4</v>
      </c>
      <c r="W52" s="154">
        <v>4</v>
      </c>
      <c r="X52" s="154" t="s">
        <v>311</v>
      </c>
      <c r="Y52" s="154">
        <v>5</v>
      </c>
      <c r="Z52" s="154">
        <f t="shared" si="19"/>
        <v>98</v>
      </c>
      <c r="AA52" s="405">
        <f t="shared" si="2"/>
        <v>350000</v>
      </c>
      <c r="AB52" s="405">
        <f t="shared" si="3"/>
        <v>210000</v>
      </c>
      <c r="AC52" s="407">
        <f t="shared" si="4"/>
        <v>3200</v>
      </c>
      <c r="AD52" s="343"/>
      <c r="AE52" s="343"/>
      <c r="AF52" s="343"/>
      <c r="AG52" s="343"/>
      <c r="AH52" s="381"/>
      <c r="AI52" s="381"/>
      <c r="AJ52" s="381"/>
      <c r="AK52" s="381"/>
      <c r="AW52" s="217">
        <f t="shared" si="5"/>
        <v>5</v>
      </c>
      <c r="AX52" s="217">
        <f t="shared" si="6"/>
        <v>5</v>
      </c>
      <c r="AY52" s="217">
        <f t="shared" si="7"/>
        <v>4</v>
      </c>
      <c r="AZ52" s="217">
        <f t="shared" si="8"/>
        <v>4</v>
      </c>
      <c r="BA52" s="217">
        <f t="shared" si="9"/>
        <v>0</v>
      </c>
      <c r="BB52" s="217">
        <f t="shared" si="10"/>
        <v>5</v>
      </c>
      <c r="BC52" s="217">
        <f t="shared" si="11"/>
        <v>68</v>
      </c>
      <c r="BD52" s="217"/>
      <c r="BE52" s="217">
        <f t="shared" si="12"/>
        <v>5</v>
      </c>
      <c r="BF52" s="217">
        <f t="shared" si="13"/>
        <v>5</v>
      </c>
      <c r="BG52" s="217">
        <f t="shared" si="14"/>
        <v>5</v>
      </c>
      <c r="BH52" s="217">
        <f t="shared" si="15"/>
        <v>5</v>
      </c>
      <c r="BI52" s="217">
        <f t="shared" si="16"/>
        <v>0</v>
      </c>
      <c r="BJ52" s="217">
        <f t="shared" si="17"/>
        <v>5</v>
      </c>
      <c r="BK52" s="217">
        <f t="shared" si="18"/>
        <v>70</v>
      </c>
    </row>
    <row r="53" spans="2:63" s="372" customFormat="1" ht="30" customHeight="1" x14ac:dyDescent="0.35">
      <c r="B53" s="373" t="s">
        <v>496</v>
      </c>
      <c r="C53" s="374" t="s">
        <v>488</v>
      </c>
      <c r="D53" s="375" t="s">
        <v>479</v>
      </c>
      <c r="E53" s="375" t="s">
        <v>479</v>
      </c>
      <c r="F53" s="383">
        <f>7+37/60+32/3600</f>
        <v>7.6255555555555556</v>
      </c>
      <c r="G53" s="383">
        <f>134+38/60+18/3600</f>
        <v>134.63833333333332</v>
      </c>
      <c r="H53" s="383">
        <f>7+37/60+29/3600</f>
        <v>7.6247222222222231</v>
      </c>
      <c r="I53" s="383">
        <f>134+38/60+24/3600</f>
        <v>134.63999999999999</v>
      </c>
      <c r="J53" s="375" t="s">
        <v>277</v>
      </c>
      <c r="K53" s="377">
        <v>2011</v>
      </c>
      <c r="L53" s="375" t="s">
        <v>311</v>
      </c>
      <c r="M53" s="378">
        <v>295</v>
      </c>
      <c r="N53" s="379">
        <v>5.5</v>
      </c>
      <c r="O53" s="375">
        <v>2</v>
      </c>
      <c r="P53" s="375" t="s">
        <v>83</v>
      </c>
      <c r="Q53" s="375" t="s">
        <v>275</v>
      </c>
      <c r="R53" s="375" t="s">
        <v>291</v>
      </c>
      <c r="S53" s="380" t="s">
        <v>92</v>
      </c>
      <c r="T53" s="154">
        <v>5</v>
      </c>
      <c r="U53" s="154">
        <v>5</v>
      </c>
      <c r="V53" s="154">
        <v>4</v>
      </c>
      <c r="W53" s="154">
        <v>5</v>
      </c>
      <c r="X53" s="154" t="s">
        <v>311</v>
      </c>
      <c r="Y53" s="154">
        <v>5</v>
      </c>
      <c r="Z53" s="154">
        <f t="shared" si="19"/>
        <v>99</v>
      </c>
      <c r="AA53" s="405">
        <f t="shared" si="2"/>
        <v>147500</v>
      </c>
      <c r="AB53" s="405">
        <f t="shared" si="3"/>
        <v>88500</v>
      </c>
      <c r="AC53" s="407">
        <f t="shared" si="4"/>
        <v>1300</v>
      </c>
      <c r="AD53" s="343"/>
      <c r="AE53" s="343"/>
      <c r="AF53" s="343"/>
      <c r="AG53" s="343"/>
      <c r="AH53" s="381"/>
      <c r="AI53" s="381"/>
      <c r="AJ53" s="381"/>
      <c r="AK53" s="381"/>
      <c r="AW53" s="217">
        <f t="shared" si="5"/>
        <v>5</v>
      </c>
      <c r="AX53" s="217">
        <f t="shared" si="6"/>
        <v>5</v>
      </c>
      <c r="AY53" s="217">
        <f t="shared" si="7"/>
        <v>4</v>
      </c>
      <c r="AZ53" s="217">
        <f t="shared" si="8"/>
        <v>5</v>
      </c>
      <c r="BA53" s="217">
        <f t="shared" si="9"/>
        <v>0</v>
      </c>
      <c r="BB53" s="217">
        <f t="shared" si="10"/>
        <v>5</v>
      </c>
      <c r="BC53" s="217">
        <f t="shared" si="11"/>
        <v>69</v>
      </c>
      <c r="BD53" s="217"/>
      <c r="BE53" s="217">
        <f t="shared" si="12"/>
        <v>5</v>
      </c>
      <c r="BF53" s="217">
        <f t="shared" si="13"/>
        <v>5</v>
      </c>
      <c r="BG53" s="217">
        <f t="shared" si="14"/>
        <v>5</v>
      </c>
      <c r="BH53" s="217">
        <f t="shared" si="15"/>
        <v>5</v>
      </c>
      <c r="BI53" s="217">
        <f t="shared" si="16"/>
        <v>0</v>
      </c>
      <c r="BJ53" s="217">
        <f t="shared" si="17"/>
        <v>5</v>
      </c>
      <c r="BK53" s="217">
        <f t="shared" si="18"/>
        <v>70</v>
      </c>
    </row>
    <row r="54" spans="2:63" s="372" customFormat="1" ht="30" customHeight="1" x14ac:dyDescent="0.35">
      <c r="B54" s="373" t="s">
        <v>498</v>
      </c>
      <c r="C54" s="374" t="s">
        <v>482</v>
      </c>
      <c r="D54" s="375" t="s">
        <v>479</v>
      </c>
      <c r="E54" s="375" t="s">
        <v>479</v>
      </c>
      <c r="F54" s="383">
        <f>7+37/60+29/3600</f>
        <v>7.6247222222222231</v>
      </c>
      <c r="G54" s="383">
        <f>134+38/60+24/3600</f>
        <v>134.63999999999999</v>
      </c>
      <c r="H54" s="383">
        <f>7+37/60+25/3600</f>
        <v>7.6236111111111118</v>
      </c>
      <c r="I54" s="383">
        <f>134+38/60+30/3600</f>
        <v>134.64166666666665</v>
      </c>
      <c r="J54" s="375" t="s">
        <v>277</v>
      </c>
      <c r="K54" s="377">
        <v>2012</v>
      </c>
      <c r="L54" s="375" t="s">
        <v>311</v>
      </c>
      <c r="M54" s="378">
        <v>185</v>
      </c>
      <c r="N54" s="379">
        <v>5.5</v>
      </c>
      <c r="O54" s="375">
        <v>2</v>
      </c>
      <c r="P54" s="375" t="s">
        <v>83</v>
      </c>
      <c r="Q54" s="375" t="s">
        <v>275</v>
      </c>
      <c r="R54" s="375" t="s">
        <v>291</v>
      </c>
      <c r="S54" s="380" t="s">
        <v>92</v>
      </c>
      <c r="T54" s="154">
        <v>5</v>
      </c>
      <c r="U54" s="154">
        <v>5</v>
      </c>
      <c r="V54" s="154">
        <v>4</v>
      </c>
      <c r="W54" s="154">
        <v>4</v>
      </c>
      <c r="X54" s="154" t="s">
        <v>311</v>
      </c>
      <c r="Y54" s="154">
        <v>5</v>
      </c>
      <c r="Z54" s="154">
        <f t="shared" si="19"/>
        <v>98</v>
      </c>
      <c r="AA54" s="405">
        <f t="shared" si="2"/>
        <v>92500</v>
      </c>
      <c r="AB54" s="405">
        <f t="shared" si="3"/>
        <v>55500</v>
      </c>
      <c r="AC54" s="407">
        <f t="shared" si="4"/>
        <v>800</v>
      </c>
      <c r="AD54" s="343"/>
      <c r="AE54" s="343"/>
      <c r="AF54" s="343"/>
      <c r="AG54" s="343"/>
      <c r="AH54" s="381"/>
      <c r="AI54" s="381"/>
      <c r="AJ54" s="381"/>
      <c r="AK54" s="381"/>
      <c r="AW54" s="217">
        <f t="shared" si="5"/>
        <v>5</v>
      </c>
      <c r="AX54" s="217">
        <f t="shared" si="6"/>
        <v>5</v>
      </c>
      <c r="AY54" s="217">
        <f t="shared" si="7"/>
        <v>4</v>
      </c>
      <c r="AZ54" s="217">
        <f t="shared" si="8"/>
        <v>4</v>
      </c>
      <c r="BA54" s="217">
        <f t="shared" si="9"/>
        <v>0</v>
      </c>
      <c r="BB54" s="217">
        <f t="shared" si="10"/>
        <v>5</v>
      </c>
      <c r="BC54" s="217">
        <f t="shared" si="11"/>
        <v>68</v>
      </c>
      <c r="BD54" s="217"/>
      <c r="BE54" s="217">
        <f t="shared" si="12"/>
        <v>5</v>
      </c>
      <c r="BF54" s="217">
        <f t="shared" si="13"/>
        <v>5</v>
      </c>
      <c r="BG54" s="217">
        <f t="shared" si="14"/>
        <v>5</v>
      </c>
      <c r="BH54" s="217">
        <f t="shared" si="15"/>
        <v>5</v>
      </c>
      <c r="BI54" s="217">
        <f t="shared" si="16"/>
        <v>0</v>
      </c>
      <c r="BJ54" s="217">
        <f t="shared" si="17"/>
        <v>5</v>
      </c>
      <c r="BK54" s="217">
        <f t="shared" si="18"/>
        <v>70</v>
      </c>
    </row>
    <row r="55" spans="2:63" s="372" customFormat="1" ht="30" customHeight="1" x14ac:dyDescent="0.35">
      <c r="B55" s="373" t="s">
        <v>501</v>
      </c>
      <c r="C55" s="374" t="s">
        <v>504</v>
      </c>
      <c r="D55" s="375" t="s">
        <v>479</v>
      </c>
      <c r="E55" s="375" t="s">
        <v>479</v>
      </c>
      <c r="F55" s="383">
        <f>7+37/60+25/3600</f>
        <v>7.6236111111111118</v>
      </c>
      <c r="G55" s="383">
        <f>134+38/60+30/3600</f>
        <v>134.64166666666665</v>
      </c>
      <c r="H55" s="383">
        <f>7+36/60+57/3600</f>
        <v>7.6158333333333328</v>
      </c>
      <c r="I55" s="383">
        <f>134+38/60+32/3600</f>
        <v>134.64222222222222</v>
      </c>
      <c r="J55" s="375" t="s">
        <v>97</v>
      </c>
      <c r="K55" s="377" t="s">
        <v>502</v>
      </c>
      <c r="L55" s="375" t="s">
        <v>311</v>
      </c>
      <c r="M55" s="378">
        <v>925</v>
      </c>
      <c r="N55" s="379">
        <v>5.5</v>
      </c>
      <c r="O55" s="375">
        <v>2</v>
      </c>
      <c r="P55" s="375" t="s">
        <v>83</v>
      </c>
      <c r="Q55" s="375" t="s">
        <v>505</v>
      </c>
      <c r="R55" s="375" t="s">
        <v>92</v>
      </c>
      <c r="S55" s="380" t="s">
        <v>92</v>
      </c>
      <c r="T55" s="154">
        <v>4</v>
      </c>
      <c r="U55" s="154">
        <v>3</v>
      </c>
      <c r="V55" s="154">
        <v>3</v>
      </c>
      <c r="W55" s="154">
        <v>3</v>
      </c>
      <c r="X55" s="154" t="s">
        <v>311</v>
      </c>
      <c r="Y55" s="154">
        <v>3</v>
      </c>
      <c r="Z55" s="154">
        <f t="shared" si="19"/>
        <v>66</v>
      </c>
      <c r="AA55" s="405">
        <f t="shared" si="2"/>
        <v>462500</v>
      </c>
      <c r="AB55" s="405">
        <f t="shared" si="3"/>
        <v>277500</v>
      </c>
      <c r="AC55" s="407">
        <f t="shared" si="4"/>
        <v>4200</v>
      </c>
      <c r="AD55" s="343"/>
      <c r="AE55" s="343"/>
      <c r="AF55" s="343"/>
      <c r="AG55" s="343"/>
      <c r="AH55" s="381"/>
      <c r="AI55" s="381"/>
      <c r="AJ55" s="381"/>
      <c r="AK55" s="381"/>
      <c r="AW55" s="217">
        <f t="shared" si="5"/>
        <v>4</v>
      </c>
      <c r="AX55" s="217">
        <f t="shared" si="6"/>
        <v>3</v>
      </c>
      <c r="AY55" s="217">
        <f t="shared" si="7"/>
        <v>3</v>
      </c>
      <c r="AZ55" s="217">
        <f t="shared" si="8"/>
        <v>3</v>
      </c>
      <c r="BA55" s="217">
        <f t="shared" si="9"/>
        <v>0</v>
      </c>
      <c r="BB55" s="217">
        <f t="shared" si="10"/>
        <v>3</v>
      </c>
      <c r="BC55" s="217">
        <f t="shared" si="11"/>
        <v>46</v>
      </c>
      <c r="BD55" s="217"/>
      <c r="BE55" s="217">
        <f t="shared" si="12"/>
        <v>5</v>
      </c>
      <c r="BF55" s="217">
        <f t="shared" si="13"/>
        <v>5</v>
      </c>
      <c r="BG55" s="217">
        <f t="shared" si="14"/>
        <v>5</v>
      </c>
      <c r="BH55" s="217">
        <f t="shared" si="15"/>
        <v>5</v>
      </c>
      <c r="BI55" s="217">
        <f t="shared" si="16"/>
        <v>0</v>
      </c>
      <c r="BJ55" s="217">
        <f t="shared" si="17"/>
        <v>5</v>
      </c>
      <c r="BK55" s="217">
        <f t="shared" si="18"/>
        <v>70</v>
      </c>
    </row>
    <row r="56" spans="2:63" s="372" customFormat="1" ht="30" customHeight="1" x14ac:dyDescent="0.35">
      <c r="B56" s="373" t="s">
        <v>506</v>
      </c>
      <c r="C56" s="374" t="s">
        <v>509</v>
      </c>
      <c r="D56" s="375" t="s">
        <v>481</v>
      </c>
      <c r="E56" s="375" t="s">
        <v>481</v>
      </c>
      <c r="F56" s="383">
        <f>7+35/60+47/3600</f>
        <v>7.5963888888888889</v>
      </c>
      <c r="G56" s="383">
        <f>134+38/60+5/3600</f>
        <v>134.63472222222222</v>
      </c>
      <c r="H56" s="383">
        <f>7+35/60+51/3600</f>
        <v>7.5975000000000001</v>
      </c>
      <c r="I56" s="383">
        <f>134+38/60+2/3600</f>
        <v>134.63388888888889</v>
      </c>
      <c r="J56" s="375" t="s">
        <v>277</v>
      </c>
      <c r="K56" s="377">
        <v>2015</v>
      </c>
      <c r="L56" s="375" t="s">
        <v>311</v>
      </c>
      <c r="M56" s="378">
        <v>240</v>
      </c>
      <c r="N56" s="379">
        <v>6.1</v>
      </c>
      <c r="O56" s="375">
        <v>2</v>
      </c>
      <c r="P56" s="375" t="s">
        <v>272</v>
      </c>
      <c r="Q56" s="375" t="s">
        <v>275</v>
      </c>
      <c r="R56" s="375" t="s">
        <v>291</v>
      </c>
      <c r="S56" s="380" t="s">
        <v>489</v>
      </c>
      <c r="T56" s="154">
        <v>5</v>
      </c>
      <c r="U56" s="154">
        <v>5</v>
      </c>
      <c r="V56" s="154">
        <v>5</v>
      </c>
      <c r="W56" s="154">
        <v>5</v>
      </c>
      <c r="X56" s="154">
        <v>4</v>
      </c>
      <c r="Y56" s="154">
        <v>5</v>
      </c>
      <c r="Z56" s="154">
        <f t="shared" si="19"/>
        <v>99</v>
      </c>
      <c r="AA56" s="405">
        <f t="shared" si="2"/>
        <v>120000</v>
      </c>
      <c r="AB56" s="405">
        <f t="shared" si="3"/>
        <v>72000</v>
      </c>
      <c r="AC56" s="407">
        <f t="shared" si="4"/>
        <v>1100</v>
      </c>
      <c r="AD56" s="343"/>
      <c r="AE56" s="343"/>
      <c r="AF56" s="343"/>
      <c r="AG56" s="343"/>
      <c r="AH56" s="381"/>
      <c r="AI56" s="381"/>
      <c r="AJ56" s="381"/>
      <c r="AK56" s="381"/>
      <c r="AW56" s="217">
        <f t="shared" si="5"/>
        <v>5</v>
      </c>
      <c r="AX56" s="217">
        <f t="shared" si="6"/>
        <v>5</v>
      </c>
      <c r="AY56" s="217">
        <f t="shared" si="7"/>
        <v>5</v>
      </c>
      <c r="AZ56" s="217">
        <f t="shared" si="8"/>
        <v>5</v>
      </c>
      <c r="BA56" s="217">
        <f t="shared" si="9"/>
        <v>4</v>
      </c>
      <c r="BB56" s="217">
        <f t="shared" si="10"/>
        <v>5</v>
      </c>
      <c r="BC56" s="217">
        <f t="shared" si="11"/>
        <v>74</v>
      </c>
      <c r="BD56" s="217"/>
      <c r="BE56" s="217">
        <f t="shared" si="12"/>
        <v>5</v>
      </c>
      <c r="BF56" s="217">
        <f t="shared" si="13"/>
        <v>5</v>
      </c>
      <c r="BG56" s="217">
        <f t="shared" si="14"/>
        <v>5</v>
      </c>
      <c r="BH56" s="217">
        <f t="shared" si="15"/>
        <v>5</v>
      </c>
      <c r="BI56" s="217">
        <f t="shared" si="16"/>
        <v>5</v>
      </c>
      <c r="BJ56" s="217">
        <f t="shared" si="17"/>
        <v>5</v>
      </c>
      <c r="BK56" s="217">
        <f t="shared" si="18"/>
        <v>75</v>
      </c>
    </row>
    <row r="57" spans="2:63" s="372" customFormat="1" ht="30" customHeight="1" x14ac:dyDescent="0.35">
      <c r="B57" s="373" t="s">
        <v>507</v>
      </c>
      <c r="C57" s="374" t="s">
        <v>510</v>
      </c>
      <c r="D57" s="375" t="s">
        <v>481</v>
      </c>
      <c r="E57" s="375" t="s">
        <v>481</v>
      </c>
      <c r="F57" s="383">
        <f>7+35/60+51/3600</f>
        <v>7.5975000000000001</v>
      </c>
      <c r="G57" s="383">
        <f>134+38/60+2/3600</f>
        <v>134.63388888888889</v>
      </c>
      <c r="H57" s="383">
        <f>7+35/60+57/3600</f>
        <v>7.5991666666666662</v>
      </c>
      <c r="I57" s="383">
        <f>134+38/60+0/3600</f>
        <v>134.63333333333333</v>
      </c>
      <c r="J57" s="375" t="s">
        <v>277</v>
      </c>
      <c r="K57" s="377">
        <v>2016</v>
      </c>
      <c r="L57" s="375" t="s">
        <v>311</v>
      </c>
      <c r="M57" s="378">
        <v>210</v>
      </c>
      <c r="N57" s="379">
        <v>7.3</v>
      </c>
      <c r="O57" s="375">
        <v>2</v>
      </c>
      <c r="P57" s="375" t="s">
        <v>272</v>
      </c>
      <c r="Q57" s="375" t="s">
        <v>275</v>
      </c>
      <c r="R57" s="375" t="s">
        <v>291</v>
      </c>
      <c r="S57" s="380" t="s">
        <v>489</v>
      </c>
      <c r="T57" s="154">
        <v>5</v>
      </c>
      <c r="U57" s="154">
        <v>5</v>
      </c>
      <c r="V57" s="154">
        <v>5</v>
      </c>
      <c r="W57" s="154">
        <v>5</v>
      </c>
      <c r="X57" s="154">
        <v>4</v>
      </c>
      <c r="Y57" s="154">
        <v>5</v>
      </c>
      <c r="Z57" s="154">
        <f t="shared" si="19"/>
        <v>99</v>
      </c>
      <c r="AA57" s="405">
        <f t="shared" si="2"/>
        <v>105000</v>
      </c>
      <c r="AB57" s="405">
        <f t="shared" si="3"/>
        <v>63000</v>
      </c>
      <c r="AC57" s="407">
        <f t="shared" si="4"/>
        <v>900</v>
      </c>
      <c r="AD57" s="343"/>
      <c r="AE57" s="343"/>
      <c r="AF57" s="343"/>
      <c r="AG57" s="343"/>
      <c r="AH57" s="381"/>
      <c r="AI57" s="381"/>
      <c r="AJ57" s="381"/>
      <c r="AK57" s="381"/>
      <c r="AW57" s="217">
        <f t="shared" si="5"/>
        <v>5</v>
      </c>
      <c r="AX57" s="217">
        <f t="shared" si="6"/>
        <v>5</v>
      </c>
      <c r="AY57" s="217">
        <f t="shared" si="7"/>
        <v>5</v>
      </c>
      <c r="AZ57" s="217">
        <f t="shared" si="8"/>
        <v>5</v>
      </c>
      <c r="BA57" s="217">
        <f t="shared" si="9"/>
        <v>4</v>
      </c>
      <c r="BB57" s="217">
        <f t="shared" si="10"/>
        <v>5</v>
      </c>
      <c r="BC57" s="217">
        <f t="shared" si="11"/>
        <v>74</v>
      </c>
      <c r="BD57" s="217"/>
      <c r="BE57" s="217">
        <f t="shared" si="12"/>
        <v>5</v>
      </c>
      <c r="BF57" s="217">
        <f t="shared" si="13"/>
        <v>5</v>
      </c>
      <c r="BG57" s="217">
        <f t="shared" si="14"/>
        <v>5</v>
      </c>
      <c r="BH57" s="217">
        <f t="shared" si="15"/>
        <v>5</v>
      </c>
      <c r="BI57" s="217">
        <f t="shared" si="16"/>
        <v>5</v>
      </c>
      <c r="BJ57" s="217">
        <f t="shared" si="17"/>
        <v>5</v>
      </c>
      <c r="BK57" s="217">
        <f t="shared" si="18"/>
        <v>75</v>
      </c>
    </row>
    <row r="58" spans="2:63" s="372" customFormat="1" ht="30" customHeight="1" x14ac:dyDescent="0.35">
      <c r="B58" s="373" t="s">
        <v>508</v>
      </c>
      <c r="C58" s="374" t="s">
        <v>511</v>
      </c>
      <c r="D58" s="375" t="s">
        <v>481</v>
      </c>
      <c r="E58" s="375" t="s">
        <v>481</v>
      </c>
      <c r="F58" s="383">
        <f>7+35/60+57/3600</f>
        <v>7.5991666666666662</v>
      </c>
      <c r="G58" s="383">
        <f>134+38/60+0/3600</f>
        <v>134.63333333333333</v>
      </c>
      <c r="H58" s="383">
        <f>7+36/60+6/3600</f>
        <v>7.6016666666666666</v>
      </c>
      <c r="I58" s="383">
        <f>134+37/60+59/3600</f>
        <v>134.63305555555556</v>
      </c>
      <c r="J58" s="375" t="s">
        <v>277</v>
      </c>
      <c r="K58" s="377">
        <v>2017</v>
      </c>
      <c r="L58" s="375" t="s">
        <v>311</v>
      </c>
      <c r="M58" s="378">
        <v>220</v>
      </c>
      <c r="N58" s="379">
        <v>7.3</v>
      </c>
      <c r="O58" s="375">
        <v>2</v>
      </c>
      <c r="P58" s="375" t="s">
        <v>272</v>
      </c>
      <c r="Q58" s="375" t="s">
        <v>275</v>
      </c>
      <c r="R58" s="375" t="s">
        <v>291</v>
      </c>
      <c r="S58" s="380" t="s">
        <v>489</v>
      </c>
      <c r="T58" s="154">
        <v>5</v>
      </c>
      <c r="U58" s="154">
        <v>5</v>
      </c>
      <c r="V58" s="154">
        <v>5</v>
      </c>
      <c r="W58" s="154">
        <v>5</v>
      </c>
      <c r="X58" s="154">
        <v>4</v>
      </c>
      <c r="Y58" s="154">
        <v>5</v>
      </c>
      <c r="Z58" s="154">
        <f t="shared" si="19"/>
        <v>99</v>
      </c>
      <c r="AA58" s="405">
        <f t="shared" si="2"/>
        <v>110000</v>
      </c>
      <c r="AB58" s="405">
        <f t="shared" si="3"/>
        <v>66000</v>
      </c>
      <c r="AC58" s="407">
        <f t="shared" si="4"/>
        <v>1000</v>
      </c>
      <c r="AD58" s="343"/>
      <c r="AE58" s="343"/>
      <c r="AF58" s="343"/>
      <c r="AG58" s="343"/>
      <c r="AH58" s="381"/>
      <c r="AI58" s="381"/>
      <c r="AJ58" s="381"/>
      <c r="AK58" s="381"/>
      <c r="AW58" s="217">
        <f t="shared" si="5"/>
        <v>5</v>
      </c>
      <c r="AX58" s="217">
        <f t="shared" si="6"/>
        <v>5</v>
      </c>
      <c r="AY58" s="217">
        <f t="shared" si="7"/>
        <v>5</v>
      </c>
      <c r="AZ58" s="217">
        <f t="shared" si="8"/>
        <v>5</v>
      </c>
      <c r="BA58" s="217">
        <f t="shared" si="9"/>
        <v>4</v>
      </c>
      <c r="BB58" s="217">
        <f t="shared" si="10"/>
        <v>5</v>
      </c>
      <c r="BC58" s="217">
        <f t="shared" si="11"/>
        <v>74</v>
      </c>
      <c r="BD58" s="217"/>
      <c r="BE58" s="217">
        <f t="shared" si="12"/>
        <v>5</v>
      </c>
      <c r="BF58" s="217">
        <f t="shared" si="13"/>
        <v>5</v>
      </c>
      <c r="BG58" s="217">
        <f t="shared" si="14"/>
        <v>5</v>
      </c>
      <c r="BH58" s="217">
        <f t="shared" si="15"/>
        <v>5</v>
      </c>
      <c r="BI58" s="217">
        <f t="shared" si="16"/>
        <v>5</v>
      </c>
      <c r="BJ58" s="217">
        <f t="shared" si="17"/>
        <v>5</v>
      </c>
      <c r="BK58" s="217">
        <f t="shared" si="18"/>
        <v>75</v>
      </c>
    </row>
    <row r="59" spans="2:63" s="372" customFormat="1" ht="30" customHeight="1" x14ac:dyDescent="0.35">
      <c r="B59" s="373" t="s">
        <v>512</v>
      </c>
      <c r="C59" s="374" t="s">
        <v>513</v>
      </c>
      <c r="D59" s="375" t="s">
        <v>481</v>
      </c>
      <c r="E59" s="375" t="s">
        <v>479</v>
      </c>
      <c r="F59" s="383">
        <f>7+36/60+6/3600</f>
        <v>7.6016666666666666</v>
      </c>
      <c r="G59" s="383">
        <f>134+37/60+59/3600</f>
        <v>134.63305555555556</v>
      </c>
      <c r="H59" s="383">
        <f>7+37/60+27/3600</f>
        <v>7.6241666666666674</v>
      </c>
      <c r="I59" s="383">
        <f>134+38/60+27/3600</f>
        <v>134.64083333333332</v>
      </c>
      <c r="J59" s="375" t="s">
        <v>277</v>
      </c>
      <c r="K59" s="377" t="s">
        <v>502</v>
      </c>
      <c r="L59" s="375" t="s">
        <v>311</v>
      </c>
      <c r="M59" s="378">
        <v>2320</v>
      </c>
      <c r="N59" s="379">
        <v>6.1</v>
      </c>
      <c r="O59" s="375">
        <v>2</v>
      </c>
      <c r="P59" s="375" t="s">
        <v>272</v>
      </c>
      <c r="Q59" s="375" t="s">
        <v>503</v>
      </c>
      <c r="R59" s="375" t="s">
        <v>92</v>
      </c>
      <c r="S59" s="380" t="s">
        <v>92</v>
      </c>
      <c r="T59" s="154">
        <v>3</v>
      </c>
      <c r="U59" s="154">
        <v>2</v>
      </c>
      <c r="V59" s="154">
        <v>1</v>
      </c>
      <c r="W59" s="154">
        <v>1</v>
      </c>
      <c r="X59" s="154">
        <v>1</v>
      </c>
      <c r="Y59" s="154">
        <v>2</v>
      </c>
      <c r="Z59" s="154">
        <f t="shared" si="19"/>
        <v>42</v>
      </c>
      <c r="AA59" s="405">
        <f t="shared" si="2"/>
        <v>1160000</v>
      </c>
      <c r="AB59" s="405">
        <f t="shared" si="3"/>
        <v>696000</v>
      </c>
      <c r="AC59" s="407">
        <f t="shared" si="4"/>
        <v>10400</v>
      </c>
      <c r="AD59" s="343"/>
      <c r="AE59" s="343"/>
      <c r="AF59" s="343"/>
      <c r="AG59" s="343"/>
      <c r="AH59" s="381"/>
      <c r="AI59" s="381">
        <f t="shared" si="22"/>
        <v>696000</v>
      </c>
      <c r="AJ59" s="381">
        <f t="shared" si="24"/>
        <v>232000</v>
      </c>
      <c r="AK59" s="381">
        <f t="shared" si="25"/>
        <v>116000</v>
      </c>
      <c r="AW59" s="217">
        <f t="shared" si="5"/>
        <v>3</v>
      </c>
      <c r="AX59" s="217">
        <f t="shared" si="6"/>
        <v>2</v>
      </c>
      <c r="AY59" s="217">
        <f t="shared" si="7"/>
        <v>1</v>
      </c>
      <c r="AZ59" s="217">
        <f t="shared" si="8"/>
        <v>1</v>
      </c>
      <c r="BA59" s="217">
        <f t="shared" si="9"/>
        <v>1</v>
      </c>
      <c r="BB59" s="217">
        <f t="shared" si="10"/>
        <v>2</v>
      </c>
      <c r="BC59" s="217">
        <f t="shared" si="11"/>
        <v>31</v>
      </c>
      <c r="BD59" s="217"/>
      <c r="BE59" s="217">
        <f t="shared" si="12"/>
        <v>5</v>
      </c>
      <c r="BF59" s="217">
        <f t="shared" si="13"/>
        <v>5</v>
      </c>
      <c r="BG59" s="217">
        <f t="shared" si="14"/>
        <v>5</v>
      </c>
      <c r="BH59" s="217">
        <f t="shared" si="15"/>
        <v>5</v>
      </c>
      <c r="BI59" s="217">
        <f t="shared" si="16"/>
        <v>5</v>
      </c>
      <c r="BJ59" s="217">
        <f t="shared" si="17"/>
        <v>5</v>
      </c>
      <c r="BK59" s="217">
        <f t="shared" si="18"/>
        <v>75</v>
      </c>
    </row>
    <row r="60" spans="2:63" s="372" customFormat="1" ht="30" customHeight="1" x14ac:dyDescent="0.35">
      <c r="B60" s="373" t="s">
        <v>514</v>
      </c>
      <c r="C60" s="374" t="s">
        <v>515</v>
      </c>
      <c r="D60" s="375" t="s">
        <v>479</v>
      </c>
      <c r="E60" s="375" t="s">
        <v>479</v>
      </c>
      <c r="F60" s="383">
        <f>7+36/60+58/3600</f>
        <v>7.6161111111111106</v>
      </c>
      <c r="G60" s="383">
        <f>134+37/60+55/3600</f>
        <v>134.63194444444446</v>
      </c>
      <c r="H60" s="383">
        <f>7+36/60+48/3600</f>
        <v>7.6133333333333333</v>
      </c>
      <c r="I60" s="383">
        <f>134+38/60+10/3600</f>
        <v>134.63611111111109</v>
      </c>
      <c r="J60" s="375" t="s">
        <v>277</v>
      </c>
      <c r="K60" s="377" t="s">
        <v>502</v>
      </c>
      <c r="L60" s="375" t="s">
        <v>311</v>
      </c>
      <c r="M60" s="378">
        <v>665</v>
      </c>
      <c r="N60" s="379">
        <v>6.1</v>
      </c>
      <c r="O60" s="375">
        <v>2</v>
      </c>
      <c r="P60" s="375" t="s">
        <v>272</v>
      </c>
      <c r="Q60" s="375" t="s">
        <v>503</v>
      </c>
      <c r="R60" s="375" t="s">
        <v>92</v>
      </c>
      <c r="S60" s="380" t="s">
        <v>92</v>
      </c>
      <c r="T60" s="154">
        <v>3</v>
      </c>
      <c r="U60" s="154">
        <v>2</v>
      </c>
      <c r="V60" s="154">
        <v>1</v>
      </c>
      <c r="W60" s="154">
        <v>1</v>
      </c>
      <c r="X60" s="154" t="s">
        <v>311</v>
      </c>
      <c r="Y60" s="154">
        <v>2</v>
      </c>
      <c r="Z60" s="154">
        <f t="shared" si="19"/>
        <v>43</v>
      </c>
      <c r="AA60" s="405">
        <f t="shared" si="2"/>
        <v>332500</v>
      </c>
      <c r="AB60" s="405">
        <f t="shared" si="3"/>
        <v>199500</v>
      </c>
      <c r="AC60" s="407">
        <f t="shared" si="4"/>
        <v>3000</v>
      </c>
      <c r="AD60" s="343"/>
      <c r="AE60" s="343"/>
      <c r="AF60" s="343"/>
      <c r="AG60" s="343"/>
      <c r="AH60" s="381"/>
      <c r="AI60" s="381">
        <f t="shared" si="22"/>
        <v>199500</v>
      </c>
      <c r="AJ60" s="381">
        <f t="shared" si="24"/>
        <v>66500</v>
      </c>
      <c r="AK60" s="381"/>
      <c r="AW60" s="217">
        <f t="shared" si="5"/>
        <v>3</v>
      </c>
      <c r="AX60" s="217">
        <f t="shared" si="6"/>
        <v>2</v>
      </c>
      <c r="AY60" s="217">
        <f t="shared" si="7"/>
        <v>1</v>
      </c>
      <c r="AZ60" s="217">
        <f t="shared" si="8"/>
        <v>1</v>
      </c>
      <c r="BA60" s="217">
        <f t="shared" si="9"/>
        <v>0</v>
      </c>
      <c r="BB60" s="217">
        <f t="shared" si="10"/>
        <v>2</v>
      </c>
      <c r="BC60" s="217">
        <f t="shared" si="11"/>
        <v>30</v>
      </c>
      <c r="BD60" s="217"/>
      <c r="BE60" s="217">
        <f t="shared" si="12"/>
        <v>5</v>
      </c>
      <c r="BF60" s="217">
        <f t="shared" si="13"/>
        <v>5</v>
      </c>
      <c r="BG60" s="217">
        <f t="shared" si="14"/>
        <v>5</v>
      </c>
      <c r="BH60" s="217">
        <f t="shared" si="15"/>
        <v>5</v>
      </c>
      <c r="BI60" s="217">
        <f t="shared" si="16"/>
        <v>0</v>
      </c>
      <c r="BJ60" s="217">
        <f t="shared" si="17"/>
        <v>5</v>
      </c>
      <c r="BK60" s="217">
        <f t="shared" si="18"/>
        <v>70</v>
      </c>
    </row>
    <row r="61" spans="2:63" s="372" customFormat="1" ht="30" customHeight="1" x14ac:dyDescent="0.35">
      <c r="B61" s="373"/>
      <c r="C61" s="374"/>
      <c r="D61" s="375"/>
      <c r="E61" s="375"/>
      <c r="F61" s="375"/>
      <c r="G61" s="375"/>
      <c r="H61" s="375"/>
      <c r="I61" s="375"/>
      <c r="J61" s="375"/>
      <c r="K61" s="377"/>
      <c r="L61" s="375"/>
      <c r="M61" s="378"/>
      <c r="N61" s="379"/>
      <c r="O61" s="375"/>
      <c r="P61" s="375"/>
      <c r="Q61" s="375"/>
      <c r="R61" s="375"/>
      <c r="S61" s="380"/>
      <c r="T61" s="154"/>
      <c r="U61" s="154"/>
      <c r="V61" s="154"/>
      <c r="W61" s="154"/>
      <c r="X61" s="154"/>
      <c r="Y61" s="154"/>
      <c r="Z61" s="154"/>
      <c r="AA61" s="405">
        <f t="shared" si="2"/>
        <v>0</v>
      </c>
      <c r="AB61" s="405">
        <f t="shared" si="3"/>
        <v>0</v>
      </c>
      <c r="AC61" s="407">
        <f t="shared" si="4"/>
        <v>0</v>
      </c>
      <c r="AD61" s="343"/>
      <c r="AE61" s="343"/>
      <c r="AF61" s="343"/>
      <c r="AG61" s="343"/>
      <c r="AH61" s="381"/>
      <c r="AI61" s="381"/>
      <c r="AJ61" s="381"/>
      <c r="AK61" s="381"/>
      <c r="AW61" s="217">
        <f t="shared" si="5"/>
        <v>0</v>
      </c>
      <c r="AX61" s="217">
        <f t="shared" si="6"/>
        <v>0</v>
      </c>
      <c r="AY61" s="217">
        <f t="shared" si="7"/>
        <v>0</v>
      </c>
      <c r="AZ61" s="217">
        <f t="shared" si="8"/>
        <v>0</v>
      </c>
      <c r="BA61" s="217">
        <f t="shared" si="9"/>
        <v>0</v>
      </c>
      <c r="BB61" s="217">
        <f t="shared" si="10"/>
        <v>0</v>
      </c>
      <c r="BC61" s="217">
        <f t="shared" si="11"/>
        <v>0</v>
      </c>
      <c r="BD61" s="217"/>
      <c r="BE61" s="217">
        <f t="shared" si="12"/>
        <v>0</v>
      </c>
      <c r="BF61" s="217">
        <f t="shared" si="13"/>
        <v>0</v>
      </c>
      <c r="BG61" s="217">
        <f t="shared" si="14"/>
        <v>0</v>
      </c>
      <c r="BH61" s="217">
        <f t="shared" si="15"/>
        <v>0</v>
      </c>
      <c r="BI61" s="217">
        <f t="shared" si="16"/>
        <v>0</v>
      </c>
      <c r="BJ61" s="217">
        <f t="shared" si="17"/>
        <v>0</v>
      </c>
      <c r="BK61" s="217">
        <f t="shared" si="18"/>
        <v>0</v>
      </c>
    </row>
    <row r="62" spans="2:63" s="372" customFormat="1" ht="30" customHeight="1" x14ac:dyDescent="0.35">
      <c r="B62" s="373" t="s">
        <v>516</v>
      </c>
      <c r="C62" s="374" t="s">
        <v>528</v>
      </c>
      <c r="D62" s="375" t="s">
        <v>517</v>
      </c>
      <c r="E62" s="375" t="s">
        <v>517</v>
      </c>
      <c r="F62" s="383">
        <f>7+32/60+23/3600</f>
        <v>7.5397222222222222</v>
      </c>
      <c r="G62" s="383">
        <f>134+37/60+35/3600</f>
        <v>134.6263888888889</v>
      </c>
      <c r="H62" s="383">
        <f>7+32/60+27/3600</f>
        <v>7.5408333333333335</v>
      </c>
      <c r="I62" s="383">
        <f>134+37/60+39/3600</f>
        <v>134.6275</v>
      </c>
      <c r="J62" s="375" t="s">
        <v>99</v>
      </c>
      <c r="K62" s="377">
        <v>1986</v>
      </c>
      <c r="L62" s="377">
        <v>2012</v>
      </c>
      <c r="M62" s="378">
        <v>155</v>
      </c>
      <c r="N62" s="379">
        <v>7.3</v>
      </c>
      <c r="O62" s="375">
        <v>2</v>
      </c>
      <c r="P62" s="375" t="s">
        <v>83</v>
      </c>
      <c r="Q62" s="375" t="s">
        <v>275</v>
      </c>
      <c r="R62" s="375" t="s">
        <v>526</v>
      </c>
      <c r="S62" s="380" t="s">
        <v>271</v>
      </c>
      <c r="T62" s="154">
        <v>5</v>
      </c>
      <c r="U62" s="154">
        <v>5</v>
      </c>
      <c r="V62" s="154">
        <v>5</v>
      </c>
      <c r="W62" s="154">
        <v>5</v>
      </c>
      <c r="X62" s="154">
        <v>4</v>
      </c>
      <c r="Y62" s="154">
        <v>5</v>
      </c>
      <c r="Z62" s="154">
        <f t="shared" si="19"/>
        <v>99</v>
      </c>
      <c r="AA62" s="405">
        <f t="shared" si="2"/>
        <v>77500</v>
      </c>
      <c r="AB62" s="405">
        <f t="shared" si="3"/>
        <v>46500</v>
      </c>
      <c r="AC62" s="407">
        <f t="shared" si="4"/>
        <v>700</v>
      </c>
      <c r="AD62" s="343"/>
      <c r="AE62" s="343"/>
      <c r="AF62" s="343"/>
      <c r="AG62" s="343"/>
      <c r="AH62" s="381"/>
      <c r="AI62" s="381"/>
      <c r="AJ62" s="381"/>
      <c r="AK62" s="381"/>
      <c r="AW62" s="217">
        <f t="shared" si="5"/>
        <v>5</v>
      </c>
      <c r="AX62" s="217">
        <f t="shared" si="6"/>
        <v>5</v>
      </c>
      <c r="AY62" s="217">
        <f t="shared" si="7"/>
        <v>5</v>
      </c>
      <c r="AZ62" s="217">
        <f t="shared" si="8"/>
        <v>5</v>
      </c>
      <c r="BA62" s="217">
        <f t="shared" si="9"/>
        <v>4</v>
      </c>
      <c r="BB62" s="217">
        <f t="shared" si="10"/>
        <v>5</v>
      </c>
      <c r="BC62" s="217">
        <f t="shared" si="11"/>
        <v>74</v>
      </c>
      <c r="BD62" s="217"/>
      <c r="BE62" s="217">
        <f t="shared" si="12"/>
        <v>5</v>
      </c>
      <c r="BF62" s="217">
        <f t="shared" si="13"/>
        <v>5</v>
      </c>
      <c r="BG62" s="217">
        <f t="shared" si="14"/>
        <v>5</v>
      </c>
      <c r="BH62" s="217">
        <f t="shared" si="15"/>
        <v>5</v>
      </c>
      <c r="BI62" s="217">
        <f t="shared" si="16"/>
        <v>5</v>
      </c>
      <c r="BJ62" s="217">
        <f t="shared" si="17"/>
        <v>5</v>
      </c>
      <c r="BK62" s="217">
        <f t="shared" si="18"/>
        <v>75</v>
      </c>
    </row>
    <row r="63" spans="2:63" s="372" customFormat="1" ht="30" customHeight="1" x14ac:dyDescent="0.35">
      <c r="B63" s="373" t="s">
        <v>518</v>
      </c>
      <c r="C63" s="374" t="s">
        <v>533</v>
      </c>
      <c r="D63" s="375" t="s">
        <v>523</v>
      </c>
      <c r="E63" s="375" t="s">
        <v>523</v>
      </c>
      <c r="F63" s="383">
        <f>7+32/60+27/3600</f>
        <v>7.5408333333333335</v>
      </c>
      <c r="G63" s="383">
        <f>134+37/60+39/3600</f>
        <v>134.6275</v>
      </c>
      <c r="H63" s="383">
        <f>7+32/60+36/3600</f>
        <v>7.543333333333333</v>
      </c>
      <c r="I63" s="383">
        <f>134+37/60+48/3600</f>
        <v>134.63</v>
      </c>
      <c r="J63" s="375" t="s">
        <v>99</v>
      </c>
      <c r="K63" s="377">
        <v>1986</v>
      </c>
      <c r="L63" s="377">
        <v>2017</v>
      </c>
      <c r="M63" s="378">
        <v>400</v>
      </c>
      <c r="N63" s="379">
        <v>7.3</v>
      </c>
      <c r="O63" s="375">
        <v>2</v>
      </c>
      <c r="P63" s="375" t="s">
        <v>83</v>
      </c>
      <c r="Q63" s="375" t="s">
        <v>275</v>
      </c>
      <c r="R63" s="375" t="s">
        <v>526</v>
      </c>
      <c r="S63" s="380" t="s">
        <v>271</v>
      </c>
      <c r="T63" s="154">
        <v>5</v>
      </c>
      <c r="U63" s="154">
        <v>5</v>
      </c>
      <c r="V63" s="154">
        <v>5</v>
      </c>
      <c r="W63" s="154">
        <v>5</v>
      </c>
      <c r="X63" s="154">
        <v>5</v>
      </c>
      <c r="Y63" s="154">
        <v>5</v>
      </c>
      <c r="Z63" s="154">
        <f t="shared" si="19"/>
        <v>100</v>
      </c>
      <c r="AA63" s="405">
        <f t="shared" si="2"/>
        <v>200000</v>
      </c>
      <c r="AB63" s="405">
        <f t="shared" si="3"/>
        <v>120000</v>
      </c>
      <c r="AC63" s="407">
        <f t="shared" si="4"/>
        <v>1800</v>
      </c>
      <c r="AD63" s="343"/>
      <c r="AE63" s="343"/>
      <c r="AF63" s="343"/>
      <c r="AG63" s="343"/>
      <c r="AH63" s="381"/>
      <c r="AI63" s="381"/>
      <c r="AJ63" s="381"/>
      <c r="AK63" s="381"/>
      <c r="AW63" s="217">
        <f t="shared" si="5"/>
        <v>5</v>
      </c>
      <c r="AX63" s="217">
        <f t="shared" si="6"/>
        <v>5</v>
      </c>
      <c r="AY63" s="217">
        <f t="shared" si="7"/>
        <v>5</v>
      </c>
      <c r="AZ63" s="217">
        <f t="shared" si="8"/>
        <v>5</v>
      </c>
      <c r="BA63" s="217">
        <f t="shared" si="9"/>
        <v>5</v>
      </c>
      <c r="BB63" s="217">
        <f t="shared" si="10"/>
        <v>5</v>
      </c>
      <c r="BC63" s="217">
        <f t="shared" si="11"/>
        <v>75</v>
      </c>
      <c r="BD63" s="217"/>
      <c r="BE63" s="217">
        <f t="shared" si="12"/>
        <v>5</v>
      </c>
      <c r="BF63" s="217">
        <f t="shared" si="13"/>
        <v>5</v>
      </c>
      <c r="BG63" s="217">
        <f t="shared" si="14"/>
        <v>5</v>
      </c>
      <c r="BH63" s="217">
        <f t="shared" si="15"/>
        <v>5</v>
      </c>
      <c r="BI63" s="217">
        <f t="shared" si="16"/>
        <v>5</v>
      </c>
      <c r="BJ63" s="217">
        <f t="shared" si="17"/>
        <v>5</v>
      </c>
      <c r="BK63" s="217">
        <f t="shared" si="18"/>
        <v>75</v>
      </c>
    </row>
    <row r="64" spans="2:63" s="372" customFormat="1" ht="30" customHeight="1" x14ac:dyDescent="0.35">
      <c r="B64" s="373" t="s">
        <v>519</v>
      </c>
      <c r="C64" s="374" t="s">
        <v>535</v>
      </c>
      <c r="D64" s="375" t="s">
        <v>523</v>
      </c>
      <c r="E64" s="375" t="s">
        <v>523</v>
      </c>
      <c r="F64" s="383">
        <f>7+32/60+36/3600</f>
        <v>7.543333333333333</v>
      </c>
      <c r="G64" s="383">
        <f>134+37/60+48/3600</f>
        <v>134.63</v>
      </c>
      <c r="H64" s="383">
        <f>7+32/60+39/3600</f>
        <v>7.5441666666666665</v>
      </c>
      <c r="I64" s="383">
        <f>134+37/60+52/3600</f>
        <v>134.63111111111112</v>
      </c>
      <c r="J64" s="375" t="s">
        <v>99</v>
      </c>
      <c r="K64" s="377">
        <v>1986</v>
      </c>
      <c r="L64" s="377">
        <v>2018</v>
      </c>
      <c r="M64" s="378">
        <v>180</v>
      </c>
      <c r="N64" s="379">
        <v>7.3</v>
      </c>
      <c r="O64" s="375">
        <v>2</v>
      </c>
      <c r="P64" s="375" t="s">
        <v>83</v>
      </c>
      <c r="Q64" s="375" t="s">
        <v>275</v>
      </c>
      <c r="R64" s="375" t="s">
        <v>526</v>
      </c>
      <c r="S64" s="380" t="s">
        <v>271</v>
      </c>
      <c r="T64" s="154">
        <v>5</v>
      </c>
      <c r="U64" s="154">
        <v>5</v>
      </c>
      <c r="V64" s="154">
        <v>5</v>
      </c>
      <c r="W64" s="154">
        <v>5</v>
      </c>
      <c r="X64" s="154">
        <v>5</v>
      </c>
      <c r="Y64" s="154">
        <v>5</v>
      </c>
      <c r="Z64" s="154">
        <f t="shared" si="19"/>
        <v>100</v>
      </c>
      <c r="AA64" s="405">
        <f t="shared" si="2"/>
        <v>90000</v>
      </c>
      <c r="AB64" s="405">
        <f t="shared" si="3"/>
        <v>54000</v>
      </c>
      <c r="AC64" s="407">
        <f t="shared" si="4"/>
        <v>800</v>
      </c>
      <c r="AD64" s="343"/>
      <c r="AE64" s="343"/>
      <c r="AF64" s="343"/>
      <c r="AG64" s="343"/>
      <c r="AH64" s="381"/>
      <c r="AI64" s="381"/>
      <c r="AJ64" s="381"/>
      <c r="AK64" s="381"/>
      <c r="AW64" s="217">
        <f t="shared" si="5"/>
        <v>5</v>
      </c>
      <c r="AX64" s="217">
        <f t="shared" si="6"/>
        <v>5</v>
      </c>
      <c r="AY64" s="217">
        <f t="shared" si="7"/>
        <v>5</v>
      </c>
      <c r="AZ64" s="217">
        <f t="shared" si="8"/>
        <v>5</v>
      </c>
      <c r="BA64" s="217">
        <f t="shared" si="9"/>
        <v>5</v>
      </c>
      <c r="BB64" s="217">
        <f t="shared" si="10"/>
        <v>5</v>
      </c>
      <c r="BC64" s="217">
        <f t="shared" si="11"/>
        <v>75</v>
      </c>
      <c r="BD64" s="217"/>
      <c r="BE64" s="217">
        <f t="shared" si="12"/>
        <v>5</v>
      </c>
      <c r="BF64" s="217">
        <f t="shared" si="13"/>
        <v>5</v>
      </c>
      <c r="BG64" s="217">
        <f t="shared" si="14"/>
        <v>5</v>
      </c>
      <c r="BH64" s="217">
        <f t="shared" si="15"/>
        <v>5</v>
      </c>
      <c r="BI64" s="217">
        <f t="shared" si="16"/>
        <v>5</v>
      </c>
      <c r="BJ64" s="217">
        <f t="shared" si="17"/>
        <v>5</v>
      </c>
      <c r="BK64" s="217">
        <f t="shared" si="18"/>
        <v>75</v>
      </c>
    </row>
    <row r="65" spans="2:63" s="372" customFormat="1" ht="30" customHeight="1" x14ac:dyDescent="0.35">
      <c r="B65" s="373" t="s">
        <v>520</v>
      </c>
      <c r="C65" s="374" t="s">
        <v>529</v>
      </c>
      <c r="D65" s="375" t="s">
        <v>523</v>
      </c>
      <c r="E65" s="375" t="s">
        <v>523</v>
      </c>
      <c r="F65" s="383">
        <f>7+32/60+44/3600</f>
        <v>7.5455555555555556</v>
      </c>
      <c r="G65" s="383">
        <f>134+38/60+2/3600</f>
        <v>134.63388888888889</v>
      </c>
      <c r="H65" s="383">
        <f>7+32/60+39/3600</f>
        <v>7.5441666666666665</v>
      </c>
      <c r="I65" s="383">
        <f>134+37/60+52/3600</f>
        <v>134.63111111111112</v>
      </c>
      <c r="J65" s="375" t="s">
        <v>99</v>
      </c>
      <c r="K65" s="377">
        <v>1986</v>
      </c>
      <c r="L65" s="377">
        <v>2014</v>
      </c>
      <c r="M65" s="378">
        <v>460</v>
      </c>
      <c r="N65" s="379">
        <v>7.3</v>
      </c>
      <c r="O65" s="375">
        <v>2</v>
      </c>
      <c r="P65" s="375" t="s">
        <v>272</v>
      </c>
      <c r="Q65" s="375" t="s">
        <v>275</v>
      </c>
      <c r="R65" s="375" t="s">
        <v>526</v>
      </c>
      <c r="S65" s="380" t="s">
        <v>271</v>
      </c>
      <c r="T65" s="154">
        <v>5</v>
      </c>
      <c r="U65" s="154">
        <v>5</v>
      </c>
      <c r="V65" s="154">
        <v>5</v>
      </c>
      <c r="W65" s="154">
        <v>5</v>
      </c>
      <c r="X65" s="154">
        <v>5</v>
      </c>
      <c r="Y65" s="154">
        <v>5</v>
      </c>
      <c r="Z65" s="154">
        <f t="shared" si="19"/>
        <v>100</v>
      </c>
      <c r="AA65" s="405">
        <f t="shared" si="2"/>
        <v>230000</v>
      </c>
      <c r="AB65" s="405">
        <f t="shared" si="3"/>
        <v>138000</v>
      </c>
      <c r="AC65" s="407">
        <f t="shared" si="4"/>
        <v>2100</v>
      </c>
      <c r="AD65" s="343"/>
      <c r="AE65" s="343"/>
      <c r="AF65" s="343"/>
      <c r="AG65" s="343"/>
      <c r="AH65" s="381"/>
      <c r="AI65" s="381"/>
      <c r="AJ65" s="381"/>
      <c r="AK65" s="381"/>
      <c r="AW65" s="217">
        <f t="shared" si="5"/>
        <v>5</v>
      </c>
      <c r="AX65" s="217">
        <f t="shared" si="6"/>
        <v>5</v>
      </c>
      <c r="AY65" s="217">
        <f t="shared" si="7"/>
        <v>5</v>
      </c>
      <c r="AZ65" s="217">
        <f t="shared" si="8"/>
        <v>5</v>
      </c>
      <c r="BA65" s="217">
        <f t="shared" si="9"/>
        <v>5</v>
      </c>
      <c r="BB65" s="217">
        <f t="shared" si="10"/>
        <v>5</v>
      </c>
      <c r="BC65" s="217">
        <f t="shared" si="11"/>
        <v>75</v>
      </c>
      <c r="BD65" s="217"/>
      <c r="BE65" s="217">
        <f t="shared" si="12"/>
        <v>5</v>
      </c>
      <c r="BF65" s="217">
        <f t="shared" si="13"/>
        <v>5</v>
      </c>
      <c r="BG65" s="217">
        <f t="shared" si="14"/>
        <v>5</v>
      </c>
      <c r="BH65" s="217">
        <f t="shared" si="15"/>
        <v>5</v>
      </c>
      <c r="BI65" s="217">
        <f t="shared" si="16"/>
        <v>5</v>
      </c>
      <c r="BJ65" s="217">
        <f t="shared" si="17"/>
        <v>5</v>
      </c>
      <c r="BK65" s="217">
        <f t="shared" si="18"/>
        <v>75</v>
      </c>
    </row>
    <row r="66" spans="2:63" s="372" customFormat="1" ht="30" customHeight="1" x14ac:dyDescent="0.35">
      <c r="B66" s="373" t="s">
        <v>524</v>
      </c>
      <c r="C66" s="374" t="s">
        <v>530</v>
      </c>
      <c r="D66" s="375" t="s">
        <v>523</v>
      </c>
      <c r="E66" s="375" t="s">
        <v>523</v>
      </c>
      <c r="F66" s="383">
        <f>7+32/60+58/3600</f>
        <v>7.5494444444444442</v>
      </c>
      <c r="G66" s="383">
        <f>134+38/60+8/3600</f>
        <v>134.63555555555556</v>
      </c>
      <c r="H66" s="383">
        <f>7+32/60+44/3600</f>
        <v>7.5455555555555556</v>
      </c>
      <c r="I66" s="383">
        <f>134+38/60+2/3600</f>
        <v>134.63388888888889</v>
      </c>
      <c r="J66" s="375" t="s">
        <v>99</v>
      </c>
      <c r="K66" s="377">
        <v>1986</v>
      </c>
      <c r="L66" s="377">
        <v>2013</v>
      </c>
      <c r="M66" s="378">
        <v>515</v>
      </c>
      <c r="N66" s="379">
        <v>7.3</v>
      </c>
      <c r="O66" s="375">
        <v>2</v>
      </c>
      <c r="P66" s="375" t="s">
        <v>272</v>
      </c>
      <c r="Q66" s="375" t="s">
        <v>275</v>
      </c>
      <c r="R66" s="375" t="s">
        <v>526</v>
      </c>
      <c r="S66" s="380" t="s">
        <v>271</v>
      </c>
      <c r="T66" s="154">
        <v>5</v>
      </c>
      <c r="U66" s="154">
        <v>5</v>
      </c>
      <c r="V66" s="154">
        <v>5</v>
      </c>
      <c r="W66" s="154">
        <v>4</v>
      </c>
      <c r="X66" s="154">
        <v>5</v>
      </c>
      <c r="Y66" s="154">
        <v>5</v>
      </c>
      <c r="Z66" s="154">
        <f t="shared" si="19"/>
        <v>99</v>
      </c>
      <c r="AA66" s="405">
        <f t="shared" si="2"/>
        <v>257500</v>
      </c>
      <c r="AB66" s="405">
        <f t="shared" si="3"/>
        <v>154500</v>
      </c>
      <c r="AC66" s="407">
        <f t="shared" si="4"/>
        <v>2300</v>
      </c>
      <c r="AD66" s="343"/>
      <c r="AE66" s="343"/>
      <c r="AF66" s="343"/>
      <c r="AG66" s="343"/>
      <c r="AH66" s="381"/>
      <c r="AI66" s="381"/>
      <c r="AJ66" s="381"/>
      <c r="AK66" s="381"/>
      <c r="AW66" s="217">
        <f t="shared" si="5"/>
        <v>5</v>
      </c>
      <c r="AX66" s="217">
        <f t="shared" si="6"/>
        <v>5</v>
      </c>
      <c r="AY66" s="217">
        <f t="shared" si="7"/>
        <v>5</v>
      </c>
      <c r="AZ66" s="217">
        <f t="shared" si="8"/>
        <v>4</v>
      </c>
      <c r="BA66" s="217">
        <f t="shared" si="9"/>
        <v>5</v>
      </c>
      <c r="BB66" s="217">
        <f t="shared" si="10"/>
        <v>5</v>
      </c>
      <c r="BC66" s="217">
        <f t="shared" si="11"/>
        <v>74</v>
      </c>
      <c r="BD66" s="217"/>
      <c r="BE66" s="217">
        <f t="shared" si="12"/>
        <v>5</v>
      </c>
      <c r="BF66" s="217">
        <f t="shared" si="13"/>
        <v>5</v>
      </c>
      <c r="BG66" s="217">
        <f t="shared" si="14"/>
        <v>5</v>
      </c>
      <c r="BH66" s="217">
        <f t="shared" si="15"/>
        <v>5</v>
      </c>
      <c r="BI66" s="217">
        <f t="shared" si="16"/>
        <v>5</v>
      </c>
      <c r="BJ66" s="217">
        <f t="shared" si="17"/>
        <v>5</v>
      </c>
      <c r="BK66" s="217">
        <f t="shared" si="18"/>
        <v>75</v>
      </c>
    </row>
    <row r="67" spans="2:63" s="372" customFormat="1" ht="30" customHeight="1" x14ac:dyDescent="0.35">
      <c r="B67" s="373" t="s">
        <v>527</v>
      </c>
      <c r="C67" s="374" t="s">
        <v>540</v>
      </c>
      <c r="D67" s="375" t="s">
        <v>523</v>
      </c>
      <c r="E67" s="375" t="s">
        <v>523</v>
      </c>
      <c r="F67" s="383">
        <f>7+32/60+58/3600</f>
        <v>7.5494444444444442</v>
      </c>
      <c r="G67" s="383">
        <f>134+38/60+8/3600</f>
        <v>134.63555555555556</v>
      </c>
      <c r="H67" s="383">
        <f>7+33/60+24/3600</f>
        <v>7.5566666666666666</v>
      </c>
      <c r="I67" s="383">
        <f>134+38/60+13/3600</f>
        <v>134.63694444444442</v>
      </c>
      <c r="J67" s="375" t="s">
        <v>99</v>
      </c>
      <c r="K67" s="377">
        <v>1986</v>
      </c>
      <c r="L67" s="377" t="s">
        <v>311</v>
      </c>
      <c r="M67" s="378">
        <v>215</v>
      </c>
      <c r="N67" s="379">
        <v>7.3</v>
      </c>
      <c r="O67" s="375">
        <v>2</v>
      </c>
      <c r="P67" s="375" t="s">
        <v>272</v>
      </c>
      <c r="Q67" s="375" t="s">
        <v>275</v>
      </c>
      <c r="R67" s="375" t="s">
        <v>521</v>
      </c>
      <c r="S67" s="380" t="s">
        <v>271</v>
      </c>
      <c r="T67" s="154">
        <v>4</v>
      </c>
      <c r="U67" s="154">
        <v>3</v>
      </c>
      <c r="V67" s="154">
        <v>2</v>
      </c>
      <c r="W67" s="154">
        <v>3</v>
      </c>
      <c r="X67" s="154">
        <v>3</v>
      </c>
      <c r="Y67" s="154">
        <v>3</v>
      </c>
      <c r="Z67" s="154">
        <f t="shared" si="19"/>
        <v>64</v>
      </c>
      <c r="AA67" s="405">
        <f t="shared" si="2"/>
        <v>107500</v>
      </c>
      <c r="AB67" s="405">
        <f t="shared" si="3"/>
        <v>64500</v>
      </c>
      <c r="AC67" s="407">
        <f t="shared" si="4"/>
        <v>1000</v>
      </c>
      <c r="AD67" s="343"/>
      <c r="AE67" s="343"/>
      <c r="AF67" s="343"/>
      <c r="AG67" s="343"/>
      <c r="AH67" s="381"/>
      <c r="AI67" s="381"/>
      <c r="AJ67" s="381">
        <f t="shared" si="24"/>
        <v>21500</v>
      </c>
      <c r="AK67" s="381"/>
      <c r="AW67" s="217">
        <f t="shared" si="5"/>
        <v>4</v>
      </c>
      <c r="AX67" s="217">
        <f t="shared" si="6"/>
        <v>3</v>
      </c>
      <c r="AY67" s="217">
        <f t="shared" si="7"/>
        <v>2</v>
      </c>
      <c r="AZ67" s="217">
        <f t="shared" si="8"/>
        <v>3</v>
      </c>
      <c r="BA67" s="217">
        <f t="shared" si="9"/>
        <v>3</v>
      </c>
      <c r="BB67" s="217">
        <f t="shared" si="10"/>
        <v>3</v>
      </c>
      <c r="BC67" s="217">
        <f t="shared" si="11"/>
        <v>48</v>
      </c>
      <c r="BD67" s="217"/>
      <c r="BE67" s="217">
        <f t="shared" si="12"/>
        <v>5</v>
      </c>
      <c r="BF67" s="217">
        <f t="shared" si="13"/>
        <v>5</v>
      </c>
      <c r="BG67" s="217">
        <f t="shared" si="14"/>
        <v>5</v>
      </c>
      <c r="BH67" s="217">
        <f t="shared" si="15"/>
        <v>5</v>
      </c>
      <c r="BI67" s="217">
        <f t="shared" si="16"/>
        <v>5</v>
      </c>
      <c r="BJ67" s="217">
        <f t="shared" si="17"/>
        <v>5</v>
      </c>
      <c r="BK67" s="217">
        <f t="shared" si="18"/>
        <v>75</v>
      </c>
    </row>
    <row r="68" spans="2:63" s="372" customFormat="1" ht="30" customHeight="1" x14ac:dyDescent="0.35">
      <c r="B68" s="373" t="s">
        <v>534</v>
      </c>
      <c r="C68" s="374" t="s">
        <v>531</v>
      </c>
      <c r="D68" s="375" t="s">
        <v>523</v>
      </c>
      <c r="E68" s="375" t="s">
        <v>522</v>
      </c>
      <c r="F68" s="383">
        <f>7+33/60+24/3600</f>
        <v>7.5566666666666666</v>
      </c>
      <c r="G68" s="383">
        <f>134+38/60+13/3600</f>
        <v>134.63694444444442</v>
      </c>
      <c r="H68" s="383">
        <f>7+33/60+24/3600</f>
        <v>7.5566666666666666</v>
      </c>
      <c r="I68" s="383">
        <f>134+38/60+12/3600</f>
        <v>134.63666666666666</v>
      </c>
      <c r="J68" s="375" t="s">
        <v>99</v>
      </c>
      <c r="K68" s="377">
        <v>1986</v>
      </c>
      <c r="L68" s="377">
        <v>2015</v>
      </c>
      <c r="M68" s="378">
        <v>355</v>
      </c>
      <c r="N68" s="379">
        <v>7.3</v>
      </c>
      <c r="O68" s="375">
        <v>2</v>
      </c>
      <c r="P68" s="375" t="s">
        <v>83</v>
      </c>
      <c r="Q68" s="375" t="s">
        <v>275</v>
      </c>
      <c r="R68" s="375" t="s">
        <v>525</v>
      </c>
      <c r="S68" s="380" t="s">
        <v>271</v>
      </c>
      <c r="T68" s="154">
        <v>5</v>
      </c>
      <c r="U68" s="154">
        <v>5</v>
      </c>
      <c r="V68" s="154">
        <v>5</v>
      </c>
      <c r="W68" s="154">
        <v>5</v>
      </c>
      <c r="X68" s="154">
        <v>5</v>
      </c>
      <c r="Y68" s="154">
        <v>5</v>
      </c>
      <c r="Z68" s="154">
        <f t="shared" si="19"/>
        <v>100</v>
      </c>
      <c r="AA68" s="405">
        <f t="shared" si="2"/>
        <v>177500</v>
      </c>
      <c r="AB68" s="405">
        <f t="shared" si="3"/>
        <v>106500</v>
      </c>
      <c r="AC68" s="407">
        <f t="shared" si="4"/>
        <v>1600</v>
      </c>
      <c r="AD68" s="343"/>
      <c r="AE68" s="343"/>
      <c r="AF68" s="343"/>
      <c r="AG68" s="343"/>
      <c r="AH68" s="381"/>
      <c r="AI68" s="381"/>
      <c r="AJ68" s="381"/>
      <c r="AK68" s="381"/>
      <c r="AW68" s="217">
        <f t="shared" si="5"/>
        <v>5</v>
      </c>
      <c r="AX68" s="217">
        <f t="shared" si="6"/>
        <v>5</v>
      </c>
      <c r="AY68" s="217">
        <f t="shared" si="7"/>
        <v>5</v>
      </c>
      <c r="AZ68" s="217">
        <f t="shared" si="8"/>
        <v>5</v>
      </c>
      <c r="BA68" s="217">
        <f t="shared" si="9"/>
        <v>5</v>
      </c>
      <c r="BB68" s="217">
        <f t="shared" si="10"/>
        <v>5</v>
      </c>
      <c r="BC68" s="217">
        <f t="shared" si="11"/>
        <v>75</v>
      </c>
      <c r="BD68" s="217"/>
      <c r="BE68" s="217">
        <f t="shared" si="12"/>
        <v>5</v>
      </c>
      <c r="BF68" s="217">
        <f t="shared" si="13"/>
        <v>5</v>
      </c>
      <c r="BG68" s="217">
        <f t="shared" si="14"/>
        <v>5</v>
      </c>
      <c r="BH68" s="217">
        <f t="shared" si="15"/>
        <v>5</v>
      </c>
      <c r="BI68" s="217">
        <f t="shared" si="16"/>
        <v>5</v>
      </c>
      <c r="BJ68" s="217">
        <f t="shared" si="17"/>
        <v>5</v>
      </c>
      <c r="BK68" s="217">
        <f t="shared" si="18"/>
        <v>75</v>
      </c>
    </row>
    <row r="69" spans="2:63" s="372" customFormat="1" ht="30" customHeight="1" x14ac:dyDescent="0.35">
      <c r="B69" s="373" t="s">
        <v>536</v>
      </c>
      <c r="C69" s="374" t="s">
        <v>532</v>
      </c>
      <c r="D69" s="375" t="s">
        <v>522</v>
      </c>
      <c r="E69" s="375" t="s">
        <v>522</v>
      </c>
      <c r="F69" s="383">
        <f>7+33/60+24/3600</f>
        <v>7.5566666666666666</v>
      </c>
      <c r="G69" s="383">
        <f>134+38/60+12/3600</f>
        <v>134.63666666666666</v>
      </c>
      <c r="H69" s="383">
        <f>7+33/60+30/3600</f>
        <v>7.5583333333333336</v>
      </c>
      <c r="I69" s="383">
        <f>134+38/60+9/3600</f>
        <v>134.63583333333332</v>
      </c>
      <c r="J69" s="375" t="s">
        <v>99</v>
      </c>
      <c r="K69" s="377">
        <v>1986</v>
      </c>
      <c r="L69" s="377">
        <v>2016</v>
      </c>
      <c r="M69" s="378">
        <v>395</v>
      </c>
      <c r="N69" s="379">
        <v>7.3</v>
      </c>
      <c r="O69" s="375">
        <v>2</v>
      </c>
      <c r="P69" s="375" t="s">
        <v>83</v>
      </c>
      <c r="Q69" s="375" t="s">
        <v>275</v>
      </c>
      <c r="R69" s="375" t="s">
        <v>525</v>
      </c>
      <c r="S69" s="380" t="s">
        <v>271</v>
      </c>
      <c r="T69" s="154">
        <v>5</v>
      </c>
      <c r="U69" s="154">
        <v>5</v>
      </c>
      <c r="V69" s="154">
        <v>5</v>
      </c>
      <c r="W69" s="154">
        <v>5</v>
      </c>
      <c r="X69" s="154">
        <v>5</v>
      </c>
      <c r="Y69" s="154">
        <v>5</v>
      </c>
      <c r="Z69" s="154">
        <f t="shared" si="19"/>
        <v>100</v>
      </c>
      <c r="AA69" s="405">
        <f t="shared" si="2"/>
        <v>197500</v>
      </c>
      <c r="AB69" s="405">
        <f t="shared" si="3"/>
        <v>118500</v>
      </c>
      <c r="AC69" s="407">
        <f t="shared" si="4"/>
        <v>1800</v>
      </c>
      <c r="AD69" s="343"/>
      <c r="AE69" s="343"/>
      <c r="AF69" s="343"/>
      <c r="AG69" s="343"/>
      <c r="AH69" s="381"/>
      <c r="AI69" s="381"/>
      <c r="AJ69" s="381"/>
      <c r="AK69" s="381"/>
      <c r="AW69" s="217">
        <f t="shared" si="5"/>
        <v>5</v>
      </c>
      <c r="AX69" s="217">
        <f t="shared" si="6"/>
        <v>5</v>
      </c>
      <c r="AY69" s="217">
        <f t="shared" si="7"/>
        <v>5</v>
      </c>
      <c r="AZ69" s="217">
        <f t="shared" si="8"/>
        <v>5</v>
      </c>
      <c r="BA69" s="217">
        <f t="shared" si="9"/>
        <v>5</v>
      </c>
      <c r="BB69" s="217">
        <f t="shared" si="10"/>
        <v>5</v>
      </c>
      <c r="BC69" s="217">
        <f t="shared" si="11"/>
        <v>75</v>
      </c>
      <c r="BD69" s="217"/>
      <c r="BE69" s="217">
        <f t="shared" si="12"/>
        <v>5</v>
      </c>
      <c r="BF69" s="217">
        <f t="shared" si="13"/>
        <v>5</v>
      </c>
      <c r="BG69" s="217">
        <f t="shared" si="14"/>
        <v>5</v>
      </c>
      <c r="BH69" s="217">
        <f t="shared" si="15"/>
        <v>5</v>
      </c>
      <c r="BI69" s="217">
        <f t="shared" si="16"/>
        <v>5</v>
      </c>
      <c r="BJ69" s="217">
        <f t="shared" si="17"/>
        <v>5</v>
      </c>
      <c r="BK69" s="217">
        <f t="shared" si="18"/>
        <v>75</v>
      </c>
    </row>
    <row r="70" spans="2:63" s="372" customFormat="1" ht="30" customHeight="1" x14ac:dyDescent="0.35">
      <c r="B70" s="373" t="s">
        <v>539</v>
      </c>
      <c r="C70" s="374" t="s">
        <v>537</v>
      </c>
      <c r="D70" s="375" t="s">
        <v>522</v>
      </c>
      <c r="E70" s="375" t="s">
        <v>538</v>
      </c>
      <c r="F70" s="383">
        <f>7+33/60+30/3600</f>
        <v>7.5583333333333336</v>
      </c>
      <c r="G70" s="383">
        <f>134+38/60+9/3600</f>
        <v>134.63583333333332</v>
      </c>
      <c r="H70" s="383">
        <f>7+32/60+39/3600</f>
        <v>7.5441666666666665</v>
      </c>
      <c r="I70" s="383">
        <f>134+37/60+52/3600</f>
        <v>134.63111111111112</v>
      </c>
      <c r="J70" s="375" t="s">
        <v>99</v>
      </c>
      <c r="K70" s="377">
        <v>1986</v>
      </c>
      <c r="L70" s="377">
        <v>2019</v>
      </c>
      <c r="M70" s="378">
        <v>995</v>
      </c>
      <c r="N70" s="379">
        <v>7.3</v>
      </c>
      <c r="O70" s="375">
        <v>2</v>
      </c>
      <c r="P70" s="375" t="s">
        <v>83</v>
      </c>
      <c r="Q70" s="375" t="s">
        <v>275</v>
      </c>
      <c r="R70" s="375" t="s">
        <v>92</v>
      </c>
      <c r="S70" s="380" t="s">
        <v>271</v>
      </c>
      <c r="T70" s="154">
        <v>5</v>
      </c>
      <c r="U70" s="154">
        <v>5</v>
      </c>
      <c r="V70" s="154">
        <v>5</v>
      </c>
      <c r="W70" s="154">
        <v>5</v>
      </c>
      <c r="X70" s="154">
        <v>5</v>
      </c>
      <c r="Y70" s="154">
        <v>5</v>
      </c>
      <c r="Z70" s="154">
        <f t="shared" si="19"/>
        <v>100</v>
      </c>
      <c r="AA70" s="405">
        <f t="shared" si="2"/>
        <v>497500</v>
      </c>
      <c r="AB70" s="405">
        <f t="shared" si="3"/>
        <v>298500</v>
      </c>
      <c r="AC70" s="407">
        <f t="shared" si="4"/>
        <v>4500</v>
      </c>
      <c r="AD70" s="343"/>
      <c r="AE70" s="343"/>
      <c r="AF70" s="343"/>
      <c r="AG70" s="343"/>
      <c r="AH70" s="381"/>
      <c r="AI70" s="381"/>
      <c r="AJ70" s="381"/>
      <c r="AK70" s="381"/>
      <c r="AW70" s="217">
        <f t="shared" si="5"/>
        <v>5</v>
      </c>
      <c r="AX70" s="217">
        <f t="shared" si="6"/>
        <v>5</v>
      </c>
      <c r="AY70" s="217">
        <f t="shared" si="7"/>
        <v>5</v>
      </c>
      <c r="AZ70" s="217">
        <f t="shared" si="8"/>
        <v>5</v>
      </c>
      <c r="BA70" s="217">
        <f t="shared" si="9"/>
        <v>5</v>
      </c>
      <c r="BB70" s="217">
        <f t="shared" si="10"/>
        <v>5</v>
      </c>
      <c r="BC70" s="217">
        <f t="shared" si="11"/>
        <v>75</v>
      </c>
      <c r="BD70" s="217"/>
      <c r="BE70" s="217">
        <f t="shared" si="12"/>
        <v>5</v>
      </c>
      <c r="BF70" s="217">
        <f t="shared" si="13"/>
        <v>5</v>
      </c>
      <c r="BG70" s="217">
        <f t="shared" si="14"/>
        <v>5</v>
      </c>
      <c r="BH70" s="217">
        <f t="shared" si="15"/>
        <v>5</v>
      </c>
      <c r="BI70" s="217">
        <f t="shared" si="16"/>
        <v>5</v>
      </c>
      <c r="BJ70" s="217">
        <f t="shared" si="17"/>
        <v>5</v>
      </c>
      <c r="BK70" s="217">
        <f t="shared" si="18"/>
        <v>75</v>
      </c>
    </row>
    <row r="71" spans="2:63" s="372" customFormat="1" ht="30" customHeight="1" x14ac:dyDescent="0.35">
      <c r="B71" s="373" t="s">
        <v>541</v>
      </c>
      <c r="C71" s="374" t="s">
        <v>565</v>
      </c>
      <c r="D71" s="375" t="s">
        <v>538</v>
      </c>
      <c r="E71" s="375" t="s">
        <v>538</v>
      </c>
      <c r="F71" s="383">
        <f>7+32/60+39/3600</f>
        <v>7.5441666666666665</v>
      </c>
      <c r="G71" s="383">
        <f>134+37/60+52/3600</f>
        <v>134.63111111111112</v>
      </c>
      <c r="H71" s="383">
        <f>7+34/60+22/3600</f>
        <v>7.5727777777777776</v>
      </c>
      <c r="I71" s="383">
        <f>134+37/60+38/3600</f>
        <v>134.62722222222223</v>
      </c>
      <c r="J71" s="375" t="s">
        <v>99</v>
      </c>
      <c r="K71" s="377" t="s">
        <v>421</v>
      </c>
      <c r="L71" s="375" t="s">
        <v>311</v>
      </c>
      <c r="M71" s="378">
        <v>2200</v>
      </c>
      <c r="N71" s="379">
        <v>7.3</v>
      </c>
      <c r="O71" s="375">
        <v>2</v>
      </c>
      <c r="P71" s="375" t="s">
        <v>272</v>
      </c>
      <c r="Q71" s="375" t="s">
        <v>503</v>
      </c>
      <c r="R71" s="375" t="s">
        <v>92</v>
      </c>
      <c r="S71" s="380" t="s">
        <v>92</v>
      </c>
      <c r="T71" s="154">
        <v>3</v>
      </c>
      <c r="U71" s="154">
        <v>2</v>
      </c>
      <c r="V71" s="154">
        <v>1</v>
      </c>
      <c r="W71" s="154">
        <v>1</v>
      </c>
      <c r="X71" s="154" t="s">
        <v>311</v>
      </c>
      <c r="Y71" s="154">
        <v>2</v>
      </c>
      <c r="Z71" s="154">
        <f t="shared" si="19"/>
        <v>43</v>
      </c>
      <c r="AA71" s="405">
        <f t="shared" ref="AA71:AA134" si="26">T$2*M71+U$2*M71+V$2*AF71+X$2*AF71</f>
        <v>1100000</v>
      </c>
      <c r="AB71" s="405">
        <f t="shared" ref="AB71:AB134" si="27">U$2*M71+V$2*AE71+X$2*AF71</f>
        <v>660000</v>
      </c>
      <c r="AC71" s="407">
        <f t="shared" ref="AC71:AC134" si="28">ROUND(AC$4*AB71,-2)</f>
        <v>9900</v>
      </c>
      <c r="AD71" s="343"/>
      <c r="AE71" s="343"/>
      <c r="AF71" s="343"/>
      <c r="AG71" s="343"/>
      <c r="AH71" s="381"/>
      <c r="AI71" s="381">
        <f t="shared" si="22"/>
        <v>660000</v>
      </c>
      <c r="AJ71" s="381">
        <f t="shared" si="24"/>
        <v>220000</v>
      </c>
      <c r="AK71" s="381"/>
      <c r="AW71" s="217">
        <f t="shared" ref="AW71:AW134" si="29">IF(OR(T71=1,T71=2,T71=3,T71=4,T71=5),T71,0)</f>
        <v>3</v>
      </c>
      <c r="AX71" s="217">
        <f t="shared" ref="AX71:AX134" si="30">IF(OR(U71=1,U71=2,U71=3,U71=4,U71=5),U71,0)</f>
        <v>2</v>
      </c>
      <c r="AY71" s="217">
        <f t="shared" ref="AY71:AY134" si="31">IF(OR(V71=1,V71=2,V71=3,V71=4,V71=5),V71,0)</f>
        <v>1</v>
      </c>
      <c r="AZ71" s="217">
        <f t="shared" ref="AZ71:AZ134" si="32">IF(OR(W71=1,W71=2,W71=3,W71=4,W71=5),W71,0)</f>
        <v>1</v>
      </c>
      <c r="BA71" s="217">
        <f t="shared" ref="BA71:BA134" si="33">IF(OR(X71=1,X71=2,X71=3,X71=4,X71=5),X71,0)</f>
        <v>0</v>
      </c>
      <c r="BB71" s="217">
        <f t="shared" ref="BB71:BB134" si="34">IF(OR(Y71=1,Y71=2,Y71=3,Y71=4,Y71=5),Y71,0)</f>
        <v>2</v>
      </c>
      <c r="BC71" s="217">
        <f t="shared" ref="BC71:BC134" si="35">AW$2*AW71+AX$2*AX71+AY$2*AY71+AZ$2*AZ71+BA$2*BA71+BB$2*BB71</f>
        <v>30</v>
      </c>
      <c r="BD71" s="217"/>
      <c r="BE71" s="217">
        <f t="shared" ref="BE71:BE134" si="36">IF(OR(T71=1,T71=2,T71=3,T71=4,T71=5),5,0)</f>
        <v>5</v>
      </c>
      <c r="BF71" s="217">
        <f t="shared" ref="BF71:BF134" si="37">IF(OR(U71=1,U71=2,U71=3,U71=4,U71=5),5,0)</f>
        <v>5</v>
      </c>
      <c r="BG71" s="217">
        <f t="shared" ref="BG71:BG134" si="38">IF(OR(V71=1,V71=2,V71=3,V71=4,V71=5),5,0)</f>
        <v>5</v>
      </c>
      <c r="BH71" s="217">
        <f t="shared" ref="BH71:BH134" si="39">IF(OR(W71=1,W71=2,W71=3,W71=4,W71=5),5,0)</f>
        <v>5</v>
      </c>
      <c r="BI71" s="217">
        <f t="shared" ref="BI71:BI134" si="40">IF(OR(X71=1,X71=2,X71=3,X71=4,X71=5),5,0)</f>
        <v>0</v>
      </c>
      <c r="BJ71" s="217">
        <f t="shared" ref="BJ71:BJ134" si="41">IF(OR(Y71=1,Y71=2,Y71=3,Y71=4,Y71=5),5,0)</f>
        <v>5</v>
      </c>
      <c r="BK71" s="217">
        <f t="shared" ref="BK71:BK134" si="42">BE$2*BE71+BF$2*BF71+BG$2*BG71+BH$2*BH71+BI$2*BI71+BJ$2*BJ71</f>
        <v>70</v>
      </c>
    </row>
    <row r="72" spans="2:63" s="372" customFormat="1" ht="30" customHeight="1" x14ac:dyDescent="0.35">
      <c r="B72" s="373" t="s">
        <v>543</v>
      </c>
      <c r="C72" s="374" t="s">
        <v>542</v>
      </c>
      <c r="D72" s="375" t="s">
        <v>523</v>
      </c>
      <c r="E72" s="375" t="s">
        <v>523</v>
      </c>
      <c r="F72" s="383">
        <f>7+32/60+54/3600</f>
        <v>7.5483333333333329</v>
      </c>
      <c r="G72" s="383">
        <f>134+38/60+5/3600</f>
        <v>134.63472222222222</v>
      </c>
      <c r="H72" s="383">
        <f>7+32/60+55/3600</f>
        <v>7.5486111111111107</v>
      </c>
      <c r="I72" s="383">
        <f>134+38/60+0/3600</f>
        <v>134.63333333333333</v>
      </c>
      <c r="J72" s="375" t="s">
        <v>277</v>
      </c>
      <c r="K72" s="377">
        <v>2015</v>
      </c>
      <c r="L72" s="377" t="s">
        <v>311</v>
      </c>
      <c r="M72" s="378">
        <v>175</v>
      </c>
      <c r="N72" s="379">
        <v>5.5</v>
      </c>
      <c r="O72" s="375">
        <v>2</v>
      </c>
      <c r="P72" s="375" t="s">
        <v>272</v>
      </c>
      <c r="Q72" s="375" t="s">
        <v>275</v>
      </c>
      <c r="R72" s="375" t="s">
        <v>521</v>
      </c>
      <c r="S72" s="380" t="s">
        <v>489</v>
      </c>
      <c r="T72" s="154">
        <v>5</v>
      </c>
      <c r="U72" s="154">
        <v>5</v>
      </c>
      <c r="V72" s="154">
        <v>5</v>
      </c>
      <c r="W72" s="154">
        <v>5</v>
      </c>
      <c r="X72" s="154">
        <v>5</v>
      </c>
      <c r="Y72" s="154">
        <v>5</v>
      </c>
      <c r="Z72" s="154">
        <f t="shared" ref="Z72:Z135" si="43">ROUNDUP(BC72/BK72*100,0)</f>
        <v>100</v>
      </c>
      <c r="AA72" s="405">
        <f t="shared" si="26"/>
        <v>87500</v>
      </c>
      <c r="AB72" s="405">
        <f t="shared" si="27"/>
        <v>52500</v>
      </c>
      <c r="AC72" s="407">
        <f t="shared" si="28"/>
        <v>800</v>
      </c>
      <c r="AD72" s="343"/>
      <c r="AE72" s="343"/>
      <c r="AF72" s="343"/>
      <c r="AG72" s="343"/>
      <c r="AH72" s="381"/>
      <c r="AI72" s="381"/>
      <c r="AJ72" s="381"/>
      <c r="AK72" s="381"/>
      <c r="AW72" s="217">
        <f t="shared" si="29"/>
        <v>5</v>
      </c>
      <c r="AX72" s="217">
        <f t="shared" si="30"/>
        <v>5</v>
      </c>
      <c r="AY72" s="217">
        <f t="shared" si="31"/>
        <v>5</v>
      </c>
      <c r="AZ72" s="217">
        <f t="shared" si="32"/>
        <v>5</v>
      </c>
      <c r="BA72" s="217">
        <f t="shared" si="33"/>
        <v>5</v>
      </c>
      <c r="BB72" s="217">
        <f t="shared" si="34"/>
        <v>5</v>
      </c>
      <c r="BC72" s="217">
        <f t="shared" si="35"/>
        <v>75</v>
      </c>
      <c r="BD72" s="217"/>
      <c r="BE72" s="217">
        <f t="shared" si="36"/>
        <v>5</v>
      </c>
      <c r="BF72" s="217">
        <f t="shared" si="37"/>
        <v>5</v>
      </c>
      <c r="BG72" s="217">
        <f t="shared" si="38"/>
        <v>5</v>
      </c>
      <c r="BH72" s="217">
        <f t="shared" si="39"/>
        <v>5</v>
      </c>
      <c r="BI72" s="217">
        <f t="shared" si="40"/>
        <v>5</v>
      </c>
      <c r="BJ72" s="217">
        <f t="shared" si="41"/>
        <v>5</v>
      </c>
      <c r="BK72" s="217">
        <f t="shared" si="42"/>
        <v>75</v>
      </c>
    </row>
    <row r="73" spans="2:63" s="372" customFormat="1" ht="30" customHeight="1" x14ac:dyDescent="0.35">
      <c r="B73" s="373" t="s">
        <v>546</v>
      </c>
      <c r="C73" s="374" t="s">
        <v>544</v>
      </c>
      <c r="D73" s="375" t="s">
        <v>523</v>
      </c>
      <c r="E73" s="375" t="s">
        <v>523</v>
      </c>
      <c r="F73" s="383">
        <f>7+32/60+54/3600</f>
        <v>7.5483333333333329</v>
      </c>
      <c r="G73" s="383">
        <f>134+37/60+40/3600</f>
        <v>134.62777777777779</v>
      </c>
      <c r="H73" s="383">
        <f>7+32/60+55/3600</f>
        <v>7.5486111111111107</v>
      </c>
      <c r="I73" s="383">
        <f>134+38/60+0/3600</f>
        <v>134.63333333333333</v>
      </c>
      <c r="J73" s="375" t="s">
        <v>277</v>
      </c>
      <c r="K73" s="377" t="s">
        <v>545</v>
      </c>
      <c r="L73" s="377" t="s">
        <v>311</v>
      </c>
      <c r="M73" s="378">
        <v>710</v>
      </c>
      <c r="N73" s="379">
        <v>5.5</v>
      </c>
      <c r="O73" s="375">
        <v>2</v>
      </c>
      <c r="P73" s="375" t="s">
        <v>272</v>
      </c>
      <c r="Q73" s="375" t="s">
        <v>503</v>
      </c>
      <c r="R73" s="375" t="s">
        <v>92</v>
      </c>
      <c r="S73" s="380" t="s">
        <v>92</v>
      </c>
      <c r="T73" s="154">
        <v>3</v>
      </c>
      <c r="U73" s="154">
        <v>2</v>
      </c>
      <c r="V73" s="154">
        <v>1</v>
      </c>
      <c r="W73" s="154">
        <v>1</v>
      </c>
      <c r="X73" s="154" t="s">
        <v>311</v>
      </c>
      <c r="Y73" s="154">
        <v>2</v>
      </c>
      <c r="Z73" s="154">
        <f t="shared" si="43"/>
        <v>43</v>
      </c>
      <c r="AA73" s="405">
        <f t="shared" si="26"/>
        <v>355000</v>
      </c>
      <c r="AB73" s="405">
        <f t="shared" si="27"/>
        <v>213000</v>
      </c>
      <c r="AC73" s="407">
        <f t="shared" si="28"/>
        <v>3200</v>
      </c>
      <c r="AD73" s="343"/>
      <c r="AE73" s="343"/>
      <c r="AF73" s="343"/>
      <c r="AG73" s="343"/>
      <c r="AH73" s="381"/>
      <c r="AI73" s="381">
        <f t="shared" si="22"/>
        <v>213000</v>
      </c>
      <c r="AJ73" s="381">
        <f t="shared" si="24"/>
        <v>71000</v>
      </c>
      <c r="AK73" s="381"/>
      <c r="AW73" s="217">
        <f t="shared" si="29"/>
        <v>3</v>
      </c>
      <c r="AX73" s="217">
        <f t="shared" si="30"/>
        <v>2</v>
      </c>
      <c r="AY73" s="217">
        <f t="shared" si="31"/>
        <v>1</v>
      </c>
      <c r="AZ73" s="217">
        <f t="shared" si="32"/>
        <v>1</v>
      </c>
      <c r="BA73" s="217">
        <f t="shared" si="33"/>
        <v>0</v>
      </c>
      <c r="BB73" s="217">
        <f t="shared" si="34"/>
        <v>2</v>
      </c>
      <c r="BC73" s="217">
        <f t="shared" si="35"/>
        <v>30</v>
      </c>
      <c r="BD73" s="217"/>
      <c r="BE73" s="217">
        <f t="shared" si="36"/>
        <v>5</v>
      </c>
      <c r="BF73" s="217">
        <f t="shared" si="37"/>
        <v>5</v>
      </c>
      <c r="BG73" s="217">
        <f t="shared" si="38"/>
        <v>5</v>
      </c>
      <c r="BH73" s="217">
        <f t="shared" si="39"/>
        <v>5</v>
      </c>
      <c r="BI73" s="217">
        <f t="shared" si="40"/>
        <v>0</v>
      </c>
      <c r="BJ73" s="217">
        <f t="shared" si="41"/>
        <v>5</v>
      </c>
      <c r="BK73" s="217">
        <f t="shared" si="42"/>
        <v>70</v>
      </c>
    </row>
    <row r="74" spans="2:63" s="372" customFormat="1" ht="30" customHeight="1" x14ac:dyDescent="0.35">
      <c r="B74" s="373" t="s">
        <v>549</v>
      </c>
      <c r="C74" s="374" t="s">
        <v>547</v>
      </c>
      <c r="D74" s="375" t="s">
        <v>523</v>
      </c>
      <c r="E74" s="375" t="s">
        <v>523</v>
      </c>
      <c r="F74" s="383">
        <f>7+32/60+58/3600</f>
        <v>7.5494444444444442</v>
      </c>
      <c r="G74" s="383">
        <f>134+38/60+9/3600</f>
        <v>134.63583333333332</v>
      </c>
      <c r="H74" s="383">
        <f>7+33/60+6/3600</f>
        <v>7.5516666666666667</v>
      </c>
      <c r="I74" s="383">
        <f>134+38/60+10/3600</f>
        <v>134.63611111111109</v>
      </c>
      <c r="J74" s="375" t="s">
        <v>97</v>
      </c>
      <c r="K74" s="377">
        <v>2015</v>
      </c>
      <c r="L74" s="377" t="s">
        <v>311</v>
      </c>
      <c r="M74" s="378">
        <v>235</v>
      </c>
      <c r="N74" s="379">
        <v>3</v>
      </c>
      <c r="O74" s="375">
        <v>1</v>
      </c>
      <c r="P74" s="375" t="s">
        <v>272</v>
      </c>
      <c r="Q74" s="375" t="s">
        <v>275</v>
      </c>
      <c r="R74" s="375" t="s">
        <v>548</v>
      </c>
      <c r="S74" s="380" t="s">
        <v>92</v>
      </c>
      <c r="T74" s="154">
        <v>5</v>
      </c>
      <c r="U74" s="154">
        <v>5</v>
      </c>
      <c r="V74" s="154">
        <v>5</v>
      </c>
      <c r="W74" s="154">
        <v>5</v>
      </c>
      <c r="X74" s="154" t="s">
        <v>311</v>
      </c>
      <c r="Y74" s="154">
        <v>5</v>
      </c>
      <c r="Z74" s="154">
        <f t="shared" si="43"/>
        <v>100</v>
      </c>
      <c r="AA74" s="405">
        <f t="shared" si="26"/>
        <v>117500</v>
      </c>
      <c r="AB74" s="405">
        <f t="shared" si="27"/>
        <v>70500</v>
      </c>
      <c r="AC74" s="407">
        <f t="shared" si="28"/>
        <v>1100</v>
      </c>
      <c r="AD74" s="343"/>
      <c r="AE74" s="343"/>
      <c r="AF74" s="343"/>
      <c r="AG74" s="343"/>
      <c r="AH74" s="381"/>
      <c r="AI74" s="381"/>
      <c r="AJ74" s="381"/>
      <c r="AK74" s="381"/>
      <c r="AW74" s="217">
        <f t="shared" si="29"/>
        <v>5</v>
      </c>
      <c r="AX74" s="217">
        <f t="shared" si="30"/>
        <v>5</v>
      </c>
      <c r="AY74" s="217">
        <f t="shared" si="31"/>
        <v>5</v>
      </c>
      <c r="AZ74" s="217">
        <f t="shared" si="32"/>
        <v>5</v>
      </c>
      <c r="BA74" s="217">
        <f t="shared" si="33"/>
        <v>0</v>
      </c>
      <c r="BB74" s="217">
        <f t="shared" si="34"/>
        <v>5</v>
      </c>
      <c r="BC74" s="217">
        <f t="shared" si="35"/>
        <v>70</v>
      </c>
      <c r="BD74" s="217"/>
      <c r="BE74" s="217">
        <f t="shared" si="36"/>
        <v>5</v>
      </c>
      <c r="BF74" s="217">
        <f t="shared" si="37"/>
        <v>5</v>
      </c>
      <c r="BG74" s="217">
        <f t="shared" si="38"/>
        <v>5</v>
      </c>
      <c r="BH74" s="217">
        <f t="shared" si="39"/>
        <v>5</v>
      </c>
      <c r="BI74" s="217">
        <f t="shared" si="40"/>
        <v>0</v>
      </c>
      <c r="BJ74" s="217">
        <f t="shared" si="41"/>
        <v>5</v>
      </c>
      <c r="BK74" s="217">
        <f t="shared" si="42"/>
        <v>70</v>
      </c>
    </row>
    <row r="75" spans="2:63" s="372" customFormat="1" ht="30" customHeight="1" x14ac:dyDescent="0.35">
      <c r="B75" s="373" t="s">
        <v>564</v>
      </c>
      <c r="C75" s="374" t="s">
        <v>550</v>
      </c>
      <c r="D75" s="375" t="s">
        <v>523</v>
      </c>
      <c r="E75" s="375" t="s">
        <v>523</v>
      </c>
      <c r="F75" s="383">
        <f>7+33/60+6/3600</f>
        <v>7.5516666666666667</v>
      </c>
      <c r="G75" s="383">
        <f>134+38/60+10/3600</f>
        <v>134.63611111111109</v>
      </c>
      <c r="H75" s="383">
        <f>7+33/60+9/3600</f>
        <v>7.5525000000000002</v>
      </c>
      <c r="I75" s="383">
        <f>134+38/60+10/3600</f>
        <v>134.63611111111109</v>
      </c>
      <c r="J75" s="375" t="s">
        <v>97</v>
      </c>
      <c r="K75" s="377">
        <v>2010</v>
      </c>
      <c r="L75" s="377" t="s">
        <v>311</v>
      </c>
      <c r="M75" s="378">
        <v>135</v>
      </c>
      <c r="N75" s="379">
        <v>3</v>
      </c>
      <c r="O75" s="375">
        <v>1</v>
      </c>
      <c r="P75" s="375" t="s">
        <v>272</v>
      </c>
      <c r="Q75" s="375" t="s">
        <v>275</v>
      </c>
      <c r="R75" s="375" t="s">
        <v>548</v>
      </c>
      <c r="S75" s="380" t="s">
        <v>92</v>
      </c>
      <c r="T75" s="154">
        <v>5</v>
      </c>
      <c r="U75" s="154">
        <v>5</v>
      </c>
      <c r="V75" s="154">
        <v>4</v>
      </c>
      <c r="W75" s="154">
        <v>4</v>
      </c>
      <c r="X75" s="154" t="s">
        <v>311</v>
      </c>
      <c r="Y75" s="154">
        <v>5</v>
      </c>
      <c r="Z75" s="154">
        <f t="shared" si="43"/>
        <v>98</v>
      </c>
      <c r="AA75" s="405">
        <f t="shared" si="26"/>
        <v>67500</v>
      </c>
      <c r="AB75" s="405">
        <f t="shared" si="27"/>
        <v>40500</v>
      </c>
      <c r="AC75" s="407">
        <f t="shared" si="28"/>
        <v>600</v>
      </c>
      <c r="AD75" s="343"/>
      <c r="AE75" s="343"/>
      <c r="AF75" s="343"/>
      <c r="AG75" s="343"/>
      <c r="AH75" s="381"/>
      <c r="AI75" s="381"/>
      <c r="AJ75" s="381"/>
      <c r="AK75" s="381"/>
      <c r="AW75" s="217">
        <f t="shared" si="29"/>
        <v>5</v>
      </c>
      <c r="AX75" s="217">
        <f t="shared" si="30"/>
        <v>5</v>
      </c>
      <c r="AY75" s="217">
        <f t="shared" si="31"/>
        <v>4</v>
      </c>
      <c r="AZ75" s="217">
        <f t="shared" si="32"/>
        <v>4</v>
      </c>
      <c r="BA75" s="217">
        <f t="shared" si="33"/>
        <v>0</v>
      </c>
      <c r="BB75" s="217">
        <f t="shared" si="34"/>
        <v>5</v>
      </c>
      <c r="BC75" s="217">
        <f t="shared" si="35"/>
        <v>68</v>
      </c>
      <c r="BD75" s="217"/>
      <c r="BE75" s="217">
        <f t="shared" si="36"/>
        <v>5</v>
      </c>
      <c r="BF75" s="217">
        <f t="shared" si="37"/>
        <v>5</v>
      </c>
      <c r="BG75" s="217">
        <f t="shared" si="38"/>
        <v>5</v>
      </c>
      <c r="BH75" s="217">
        <f t="shared" si="39"/>
        <v>5</v>
      </c>
      <c r="BI75" s="217">
        <f t="shared" si="40"/>
        <v>0</v>
      </c>
      <c r="BJ75" s="217">
        <f t="shared" si="41"/>
        <v>5</v>
      </c>
      <c r="BK75" s="217">
        <f t="shared" si="42"/>
        <v>70</v>
      </c>
    </row>
    <row r="76" spans="2:63" s="372" customFormat="1" ht="30" customHeight="1" x14ac:dyDescent="0.35">
      <c r="B76" s="373"/>
      <c r="C76" s="374"/>
      <c r="D76" s="375"/>
      <c r="E76" s="375"/>
      <c r="F76" s="383"/>
      <c r="G76" s="383"/>
      <c r="H76" s="383"/>
      <c r="I76" s="383"/>
      <c r="J76" s="375"/>
      <c r="K76" s="384"/>
      <c r="L76" s="377"/>
      <c r="M76" s="378"/>
      <c r="N76" s="379"/>
      <c r="O76" s="375"/>
      <c r="P76" s="375"/>
      <c r="Q76" s="375"/>
      <c r="R76" s="375"/>
      <c r="S76" s="380"/>
      <c r="T76" s="154"/>
      <c r="U76" s="154"/>
      <c r="V76" s="154"/>
      <c r="W76" s="154"/>
      <c r="X76" s="154"/>
      <c r="Y76" s="154"/>
      <c r="Z76" s="154"/>
      <c r="AA76" s="405">
        <f t="shared" si="26"/>
        <v>0</v>
      </c>
      <c r="AB76" s="405">
        <f t="shared" si="27"/>
        <v>0</v>
      </c>
      <c r="AC76" s="407">
        <f t="shared" si="28"/>
        <v>0</v>
      </c>
      <c r="AD76" s="343"/>
      <c r="AE76" s="343"/>
      <c r="AF76" s="343"/>
      <c r="AG76" s="343"/>
      <c r="AH76" s="381"/>
      <c r="AI76" s="381"/>
      <c r="AJ76" s="381"/>
      <c r="AK76" s="381"/>
      <c r="AW76" s="217">
        <f t="shared" si="29"/>
        <v>0</v>
      </c>
      <c r="AX76" s="217">
        <f t="shared" si="30"/>
        <v>0</v>
      </c>
      <c r="AY76" s="217">
        <f t="shared" si="31"/>
        <v>0</v>
      </c>
      <c r="AZ76" s="217">
        <f t="shared" si="32"/>
        <v>0</v>
      </c>
      <c r="BA76" s="217">
        <f t="shared" si="33"/>
        <v>0</v>
      </c>
      <c r="BB76" s="217">
        <f t="shared" si="34"/>
        <v>0</v>
      </c>
      <c r="BC76" s="217">
        <f t="shared" si="35"/>
        <v>0</v>
      </c>
      <c r="BD76" s="217"/>
      <c r="BE76" s="217">
        <f t="shared" si="36"/>
        <v>0</v>
      </c>
      <c r="BF76" s="217">
        <f t="shared" si="37"/>
        <v>0</v>
      </c>
      <c r="BG76" s="217">
        <f t="shared" si="38"/>
        <v>0</v>
      </c>
      <c r="BH76" s="217">
        <f t="shared" si="39"/>
        <v>0</v>
      </c>
      <c r="BI76" s="217">
        <f t="shared" si="40"/>
        <v>0</v>
      </c>
      <c r="BJ76" s="217">
        <f t="shared" si="41"/>
        <v>0</v>
      </c>
      <c r="BK76" s="217">
        <f t="shared" si="42"/>
        <v>0</v>
      </c>
    </row>
    <row r="77" spans="2:63" s="372" customFormat="1" ht="30" customHeight="1" x14ac:dyDescent="0.35">
      <c r="B77" s="373" t="s">
        <v>551</v>
      </c>
      <c r="C77" s="374" t="s">
        <v>554</v>
      </c>
      <c r="D77" s="375" t="s">
        <v>791</v>
      </c>
      <c r="E77" s="375" t="s">
        <v>791</v>
      </c>
      <c r="F77" s="383">
        <f>7+36/60+46/3600</f>
        <v>7.6127777777777776</v>
      </c>
      <c r="G77" s="383">
        <f>134+34/60+52/3600</f>
        <v>134.58111111111111</v>
      </c>
      <c r="H77" s="383">
        <f>7+36/60+5/3600</f>
        <v>7.6013888888888888</v>
      </c>
      <c r="I77" s="383">
        <f>134+34/60+52/3600</f>
        <v>134.58111111111111</v>
      </c>
      <c r="J77" s="375" t="s">
        <v>99</v>
      </c>
      <c r="K77" s="377">
        <v>2010</v>
      </c>
      <c r="L77" s="377" t="s">
        <v>311</v>
      </c>
      <c r="M77" s="378">
        <v>550</v>
      </c>
      <c r="N77" s="379">
        <v>6.1</v>
      </c>
      <c r="O77" s="375">
        <v>2</v>
      </c>
      <c r="P77" s="375" t="s">
        <v>272</v>
      </c>
      <c r="Q77" s="375" t="s">
        <v>275</v>
      </c>
      <c r="R77" s="375" t="s">
        <v>521</v>
      </c>
      <c r="S77" s="380" t="s">
        <v>271</v>
      </c>
      <c r="T77" s="154">
        <v>5</v>
      </c>
      <c r="U77" s="154">
        <v>5</v>
      </c>
      <c r="V77" s="154">
        <v>5</v>
      </c>
      <c r="W77" s="154">
        <v>5</v>
      </c>
      <c r="X77" s="154">
        <v>5</v>
      </c>
      <c r="Y77" s="154">
        <v>5</v>
      </c>
      <c r="Z77" s="154">
        <f t="shared" si="43"/>
        <v>100</v>
      </c>
      <c r="AA77" s="405">
        <f t="shared" si="26"/>
        <v>275000</v>
      </c>
      <c r="AB77" s="405">
        <f t="shared" si="27"/>
        <v>165000</v>
      </c>
      <c r="AC77" s="407">
        <f t="shared" si="28"/>
        <v>2500</v>
      </c>
      <c r="AD77" s="343"/>
      <c r="AE77" s="343"/>
      <c r="AF77" s="343"/>
      <c r="AG77" s="343"/>
      <c r="AH77" s="381"/>
      <c r="AI77" s="381"/>
      <c r="AJ77" s="381"/>
      <c r="AK77" s="381"/>
      <c r="AW77" s="217">
        <f t="shared" si="29"/>
        <v>5</v>
      </c>
      <c r="AX77" s="217">
        <f t="shared" si="30"/>
        <v>5</v>
      </c>
      <c r="AY77" s="217">
        <f t="shared" si="31"/>
        <v>5</v>
      </c>
      <c r="AZ77" s="217">
        <f t="shared" si="32"/>
        <v>5</v>
      </c>
      <c r="BA77" s="217">
        <f t="shared" si="33"/>
        <v>5</v>
      </c>
      <c r="BB77" s="217">
        <f t="shared" si="34"/>
        <v>5</v>
      </c>
      <c r="BC77" s="217">
        <f t="shared" si="35"/>
        <v>75</v>
      </c>
      <c r="BD77" s="217"/>
      <c r="BE77" s="217">
        <f t="shared" si="36"/>
        <v>5</v>
      </c>
      <c r="BF77" s="217">
        <f t="shared" si="37"/>
        <v>5</v>
      </c>
      <c r="BG77" s="217">
        <f t="shared" si="38"/>
        <v>5</v>
      </c>
      <c r="BH77" s="217">
        <f t="shared" si="39"/>
        <v>5</v>
      </c>
      <c r="BI77" s="217">
        <f t="shared" si="40"/>
        <v>5</v>
      </c>
      <c r="BJ77" s="217">
        <f t="shared" si="41"/>
        <v>5</v>
      </c>
      <c r="BK77" s="217">
        <f t="shared" si="42"/>
        <v>75</v>
      </c>
    </row>
    <row r="78" spans="2:63" s="372" customFormat="1" ht="30" customHeight="1" x14ac:dyDescent="0.35">
      <c r="B78" s="373" t="s">
        <v>553</v>
      </c>
      <c r="C78" s="374" t="s">
        <v>555</v>
      </c>
      <c r="D78" s="375" t="s">
        <v>791</v>
      </c>
      <c r="E78" s="375" t="s">
        <v>791</v>
      </c>
      <c r="F78" s="383">
        <f>7+36/60+5/3600</f>
        <v>7.6013888888888888</v>
      </c>
      <c r="G78" s="383">
        <f>134+34/60+52/3600</f>
        <v>134.58111111111111</v>
      </c>
      <c r="H78" s="383">
        <f>7+36/60+11/3600</f>
        <v>7.6030555555555548</v>
      </c>
      <c r="I78" s="383">
        <f>134+34/60+49/3600</f>
        <v>134.58027777777778</v>
      </c>
      <c r="J78" s="375" t="s">
        <v>99</v>
      </c>
      <c r="K78" s="377">
        <v>2011</v>
      </c>
      <c r="L78" s="377" t="s">
        <v>311</v>
      </c>
      <c r="M78" s="378">
        <v>240</v>
      </c>
      <c r="N78" s="379">
        <v>6.1</v>
      </c>
      <c r="O78" s="375">
        <v>2</v>
      </c>
      <c r="P78" s="375" t="s">
        <v>272</v>
      </c>
      <c r="Q78" s="375" t="s">
        <v>275</v>
      </c>
      <c r="R78" s="375" t="s">
        <v>521</v>
      </c>
      <c r="S78" s="380" t="s">
        <v>271</v>
      </c>
      <c r="T78" s="154">
        <v>5</v>
      </c>
      <c r="U78" s="154">
        <v>5</v>
      </c>
      <c r="V78" s="154">
        <v>5</v>
      </c>
      <c r="W78" s="154">
        <v>5</v>
      </c>
      <c r="X78" s="154">
        <v>5</v>
      </c>
      <c r="Y78" s="154">
        <v>5</v>
      </c>
      <c r="Z78" s="154">
        <f t="shared" si="43"/>
        <v>100</v>
      </c>
      <c r="AA78" s="405">
        <f t="shared" si="26"/>
        <v>120000</v>
      </c>
      <c r="AB78" s="405">
        <f t="shared" si="27"/>
        <v>72000</v>
      </c>
      <c r="AC78" s="407">
        <f t="shared" si="28"/>
        <v>1100</v>
      </c>
      <c r="AD78" s="343"/>
      <c r="AE78" s="343"/>
      <c r="AF78" s="343"/>
      <c r="AG78" s="343"/>
      <c r="AH78" s="381"/>
      <c r="AI78" s="381"/>
      <c r="AJ78" s="381"/>
      <c r="AK78" s="381"/>
      <c r="AW78" s="217">
        <f t="shared" si="29"/>
        <v>5</v>
      </c>
      <c r="AX78" s="217">
        <f t="shared" si="30"/>
        <v>5</v>
      </c>
      <c r="AY78" s="217">
        <f t="shared" si="31"/>
        <v>5</v>
      </c>
      <c r="AZ78" s="217">
        <f t="shared" si="32"/>
        <v>5</v>
      </c>
      <c r="BA78" s="217">
        <f t="shared" si="33"/>
        <v>5</v>
      </c>
      <c r="BB78" s="217">
        <f t="shared" si="34"/>
        <v>5</v>
      </c>
      <c r="BC78" s="217">
        <f t="shared" si="35"/>
        <v>75</v>
      </c>
      <c r="BD78" s="217"/>
      <c r="BE78" s="217">
        <f t="shared" si="36"/>
        <v>5</v>
      </c>
      <c r="BF78" s="217">
        <f t="shared" si="37"/>
        <v>5</v>
      </c>
      <c r="BG78" s="217">
        <f t="shared" si="38"/>
        <v>5</v>
      </c>
      <c r="BH78" s="217">
        <f t="shared" si="39"/>
        <v>5</v>
      </c>
      <c r="BI78" s="217">
        <f t="shared" si="40"/>
        <v>5</v>
      </c>
      <c r="BJ78" s="217">
        <f t="shared" si="41"/>
        <v>5</v>
      </c>
      <c r="BK78" s="217">
        <f t="shared" si="42"/>
        <v>75</v>
      </c>
    </row>
    <row r="79" spans="2:63" s="372" customFormat="1" ht="30" customHeight="1" x14ac:dyDescent="0.35">
      <c r="B79" s="373" t="s">
        <v>556</v>
      </c>
      <c r="C79" s="374" t="s">
        <v>552</v>
      </c>
      <c r="D79" s="375" t="s">
        <v>791</v>
      </c>
      <c r="E79" s="375" t="s">
        <v>791</v>
      </c>
      <c r="F79" s="383">
        <f>7+36/60+11/3600</f>
        <v>7.6030555555555548</v>
      </c>
      <c r="G79" s="383">
        <f>134+34/60+49/3600</f>
        <v>134.58027777777778</v>
      </c>
      <c r="H79" s="383">
        <f>7+36/60+18/3600</f>
        <v>7.6049999999999995</v>
      </c>
      <c r="I79" s="383">
        <f>134+34/60+41/3600</f>
        <v>134.57805555555555</v>
      </c>
      <c r="J79" s="375" t="s">
        <v>99</v>
      </c>
      <c r="K79" s="377">
        <v>2008</v>
      </c>
      <c r="L79" s="377" t="s">
        <v>311</v>
      </c>
      <c r="M79" s="378">
        <v>450</v>
      </c>
      <c r="N79" s="379">
        <v>6.1</v>
      </c>
      <c r="O79" s="375">
        <v>2</v>
      </c>
      <c r="P79" s="375" t="s">
        <v>272</v>
      </c>
      <c r="Q79" s="375" t="s">
        <v>275</v>
      </c>
      <c r="R79" s="375" t="s">
        <v>521</v>
      </c>
      <c r="S79" s="380" t="s">
        <v>92</v>
      </c>
      <c r="T79" s="154">
        <v>5</v>
      </c>
      <c r="U79" s="154">
        <v>5</v>
      </c>
      <c r="V79" s="154">
        <v>5</v>
      </c>
      <c r="W79" s="154">
        <v>5</v>
      </c>
      <c r="X79" s="154" t="s">
        <v>311</v>
      </c>
      <c r="Y79" s="154">
        <v>5</v>
      </c>
      <c r="Z79" s="154">
        <f t="shared" si="43"/>
        <v>100</v>
      </c>
      <c r="AA79" s="405">
        <f t="shared" si="26"/>
        <v>225000</v>
      </c>
      <c r="AB79" s="405">
        <f t="shared" si="27"/>
        <v>135000</v>
      </c>
      <c r="AC79" s="407">
        <f t="shared" si="28"/>
        <v>2000</v>
      </c>
      <c r="AD79" s="343"/>
      <c r="AE79" s="343"/>
      <c r="AF79" s="343"/>
      <c r="AG79" s="343"/>
      <c r="AH79" s="381"/>
      <c r="AI79" s="381"/>
      <c r="AJ79" s="381"/>
      <c r="AK79" s="381"/>
      <c r="AW79" s="217">
        <f t="shared" si="29"/>
        <v>5</v>
      </c>
      <c r="AX79" s="217">
        <f t="shared" si="30"/>
        <v>5</v>
      </c>
      <c r="AY79" s="217">
        <f t="shared" si="31"/>
        <v>5</v>
      </c>
      <c r="AZ79" s="217">
        <f t="shared" si="32"/>
        <v>5</v>
      </c>
      <c r="BA79" s="217">
        <f t="shared" si="33"/>
        <v>0</v>
      </c>
      <c r="BB79" s="217">
        <f t="shared" si="34"/>
        <v>5</v>
      </c>
      <c r="BC79" s="217">
        <f t="shared" si="35"/>
        <v>70</v>
      </c>
      <c r="BD79" s="217"/>
      <c r="BE79" s="217">
        <f t="shared" si="36"/>
        <v>5</v>
      </c>
      <c r="BF79" s="217">
        <f t="shared" si="37"/>
        <v>5</v>
      </c>
      <c r="BG79" s="217">
        <f t="shared" si="38"/>
        <v>5</v>
      </c>
      <c r="BH79" s="217">
        <f t="shared" si="39"/>
        <v>5</v>
      </c>
      <c r="BI79" s="217">
        <f t="shared" si="40"/>
        <v>0</v>
      </c>
      <c r="BJ79" s="217">
        <f t="shared" si="41"/>
        <v>5</v>
      </c>
      <c r="BK79" s="217">
        <f t="shared" si="42"/>
        <v>70</v>
      </c>
    </row>
    <row r="80" spans="2:63" s="372" customFormat="1" ht="30" customHeight="1" x14ac:dyDescent="0.35">
      <c r="B80" s="373" t="s">
        <v>558</v>
      </c>
      <c r="C80" s="374" t="s">
        <v>557</v>
      </c>
      <c r="D80" s="375" t="s">
        <v>791</v>
      </c>
      <c r="E80" s="375" t="s">
        <v>791</v>
      </c>
      <c r="F80" s="383">
        <f>7+36/60+18/3600</f>
        <v>7.6049999999999995</v>
      </c>
      <c r="G80" s="383">
        <f>134+34/60+41/3600</f>
        <v>134.57805555555555</v>
      </c>
      <c r="H80" s="383">
        <f>7+36/60+21/3600</f>
        <v>7.605833333333333</v>
      </c>
      <c r="I80" s="383">
        <f>134+34/60+38/3600</f>
        <v>134.57722222222222</v>
      </c>
      <c r="J80" s="375" t="s">
        <v>99</v>
      </c>
      <c r="K80" s="377">
        <v>2012</v>
      </c>
      <c r="L80" s="377" t="s">
        <v>311</v>
      </c>
      <c r="M80" s="378">
        <v>140</v>
      </c>
      <c r="N80" s="379">
        <v>6.1</v>
      </c>
      <c r="O80" s="375">
        <v>2</v>
      </c>
      <c r="P80" s="375" t="s">
        <v>272</v>
      </c>
      <c r="Q80" s="375" t="s">
        <v>275</v>
      </c>
      <c r="R80" s="375" t="s">
        <v>521</v>
      </c>
      <c r="S80" s="380" t="s">
        <v>271</v>
      </c>
      <c r="T80" s="154">
        <v>5</v>
      </c>
      <c r="U80" s="154">
        <v>5</v>
      </c>
      <c r="V80" s="154">
        <v>5</v>
      </c>
      <c r="W80" s="154">
        <v>5</v>
      </c>
      <c r="X80" s="154">
        <v>5</v>
      </c>
      <c r="Y80" s="154">
        <v>5</v>
      </c>
      <c r="Z80" s="154">
        <f t="shared" si="43"/>
        <v>100</v>
      </c>
      <c r="AA80" s="405">
        <f t="shared" si="26"/>
        <v>70000</v>
      </c>
      <c r="AB80" s="405">
        <f t="shared" si="27"/>
        <v>42000</v>
      </c>
      <c r="AC80" s="407">
        <f t="shared" si="28"/>
        <v>600</v>
      </c>
      <c r="AD80" s="343"/>
      <c r="AE80" s="343"/>
      <c r="AF80" s="343"/>
      <c r="AG80" s="343"/>
      <c r="AH80" s="381"/>
      <c r="AI80" s="381"/>
      <c r="AJ80" s="381"/>
      <c r="AK80" s="381"/>
      <c r="AW80" s="217">
        <f t="shared" si="29"/>
        <v>5</v>
      </c>
      <c r="AX80" s="217">
        <f t="shared" si="30"/>
        <v>5</v>
      </c>
      <c r="AY80" s="217">
        <f t="shared" si="31"/>
        <v>5</v>
      </c>
      <c r="AZ80" s="217">
        <f t="shared" si="32"/>
        <v>5</v>
      </c>
      <c r="BA80" s="217">
        <f t="shared" si="33"/>
        <v>5</v>
      </c>
      <c r="BB80" s="217">
        <f t="shared" si="34"/>
        <v>5</v>
      </c>
      <c r="BC80" s="217">
        <f t="shared" si="35"/>
        <v>75</v>
      </c>
      <c r="BD80" s="217"/>
      <c r="BE80" s="217">
        <f t="shared" si="36"/>
        <v>5</v>
      </c>
      <c r="BF80" s="217">
        <f t="shared" si="37"/>
        <v>5</v>
      </c>
      <c r="BG80" s="217">
        <f t="shared" si="38"/>
        <v>5</v>
      </c>
      <c r="BH80" s="217">
        <f t="shared" si="39"/>
        <v>5</v>
      </c>
      <c r="BI80" s="217">
        <f t="shared" si="40"/>
        <v>5</v>
      </c>
      <c r="BJ80" s="217">
        <f t="shared" si="41"/>
        <v>5</v>
      </c>
      <c r="BK80" s="217">
        <f t="shared" si="42"/>
        <v>75</v>
      </c>
    </row>
    <row r="81" spans="2:63" s="372" customFormat="1" ht="30" customHeight="1" x14ac:dyDescent="0.35">
      <c r="B81" s="373" t="s">
        <v>559</v>
      </c>
      <c r="C81" s="374" t="s">
        <v>560</v>
      </c>
      <c r="D81" s="375" t="s">
        <v>791</v>
      </c>
      <c r="E81" s="375" t="s">
        <v>791</v>
      </c>
      <c r="F81" s="383">
        <f>7+36/60+21/3600</f>
        <v>7.605833333333333</v>
      </c>
      <c r="G81" s="383">
        <f>134+34/60+38/3600</f>
        <v>134.57722222222222</v>
      </c>
      <c r="H81" s="383">
        <f>7+36/60+28/3600</f>
        <v>7.6077777777777778</v>
      </c>
      <c r="I81" s="383">
        <f>134+34/60+36/3600</f>
        <v>134.57666666666665</v>
      </c>
      <c r="J81" s="375" t="s">
        <v>99</v>
      </c>
      <c r="K81" s="377">
        <v>2013</v>
      </c>
      <c r="L81" s="377" t="s">
        <v>311</v>
      </c>
      <c r="M81" s="378">
        <v>405</v>
      </c>
      <c r="N81" s="379">
        <v>6.1</v>
      </c>
      <c r="O81" s="375">
        <v>2</v>
      </c>
      <c r="P81" s="375" t="s">
        <v>272</v>
      </c>
      <c r="Q81" s="375" t="s">
        <v>275</v>
      </c>
      <c r="R81" s="375" t="s">
        <v>561</v>
      </c>
      <c r="S81" s="380" t="s">
        <v>271</v>
      </c>
      <c r="T81" s="154">
        <v>5</v>
      </c>
      <c r="U81" s="154">
        <v>5</v>
      </c>
      <c r="V81" s="154">
        <v>5</v>
      </c>
      <c r="W81" s="154">
        <v>5</v>
      </c>
      <c r="X81" s="154">
        <v>5</v>
      </c>
      <c r="Y81" s="154">
        <v>5</v>
      </c>
      <c r="Z81" s="154">
        <f t="shared" si="43"/>
        <v>100</v>
      </c>
      <c r="AA81" s="405">
        <f t="shared" si="26"/>
        <v>202500</v>
      </c>
      <c r="AB81" s="405">
        <f t="shared" si="27"/>
        <v>121500</v>
      </c>
      <c r="AC81" s="407">
        <f t="shared" si="28"/>
        <v>1800</v>
      </c>
      <c r="AD81" s="343"/>
      <c r="AE81" s="343"/>
      <c r="AF81" s="343"/>
      <c r="AG81" s="343"/>
      <c r="AH81" s="381"/>
      <c r="AI81" s="381"/>
      <c r="AJ81" s="381"/>
      <c r="AK81" s="381"/>
      <c r="AW81" s="217">
        <f t="shared" si="29"/>
        <v>5</v>
      </c>
      <c r="AX81" s="217">
        <f t="shared" si="30"/>
        <v>5</v>
      </c>
      <c r="AY81" s="217">
        <f t="shared" si="31"/>
        <v>5</v>
      </c>
      <c r="AZ81" s="217">
        <f t="shared" si="32"/>
        <v>5</v>
      </c>
      <c r="BA81" s="217">
        <f t="shared" si="33"/>
        <v>5</v>
      </c>
      <c r="BB81" s="217">
        <f t="shared" si="34"/>
        <v>5</v>
      </c>
      <c r="BC81" s="217">
        <f t="shared" si="35"/>
        <v>75</v>
      </c>
      <c r="BD81" s="217"/>
      <c r="BE81" s="217">
        <f t="shared" si="36"/>
        <v>5</v>
      </c>
      <c r="BF81" s="217">
        <f t="shared" si="37"/>
        <v>5</v>
      </c>
      <c r="BG81" s="217">
        <f t="shared" si="38"/>
        <v>5</v>
      </c>
      <c r="BH81" s="217">
        <f t="shared" si="39"/>
        <v>5</v>
      </c>
      <c r="BI81" s="217">
        <f t="shared" si="40"/>
        <v>5</v>
      </c>
      <c r="BJ81" s="217">
        <f t="shared" si="41"/>
        <v>5</v>
      </c>
      <c r="BK81" s="217">
        <f t="shared" si="42"/>
        <v>75</v>
      </c>
    </row>
    <row r="82" spans="2:63" s="372" customFormat="1" ht="30" customHeight="1" x14ac:dyDescent="0.35">
      <c r="B82" s="373" t="s">
        <v>562</v>
      </c>
      <c r="C82" s="374" t="s">
        <v>563</v>
      </c>
      <c r="D82" s="375" t="s">
        <v>791</v>
      </c>
      <c r="E82" s="375" t="s">
        <v>792</v>
      </c>
      <c r="F82" s="383">
        <f>7+36/60+28/3600</f>
        <v>7.6077777777777778</v>
      </c>
      <c r="G82" s="383">
        <f>134+34/60+36/3600</f>
        <v>134.57666666666665</v>
      </c>
      <c r="H82" s="383">
        <f>7+36/60+40/3600</f>
        <v>7.6111111111111107</v>
      </c>
      <c r="I82" s="383">
        <f>134+34/60+50/3600</f>
        <v>134.58055555555555</v>
      </c>
      <c r="J82" s="375" t="s">
        <v>277</v>
      </c>
      <c r="K82" s="377">
        <v>2002</v>
      </c>
      <c r="L82" s="377" t="s">
        <v>311</v>
      </c>
      <c r="M82" s="378">
        <v>955</v>
      </c>
      <c r="N82" s="379">
        <v>6.1</v>
      </c>
      <c r="O82" s="375">
        <v>2</v>
      </c>
      <c r="P82" s="375" t="s">
        <v>272</v>
      </c>
      <c r="Q82" s="375" t="s">
        <v>275</v>
      </c>
      <c r="R82" s="375" t="s">
        <v>561</v>
      </c>
      <c r="S82" s="380" t="s">
        <v>271</v>
      </c>
      <c r="T82" s="154">
        <v>5</v>
      </c>
      <c r="U82" s="154">
        <v>5</v>
      </c>
      <c r="V82" s="154">
        <v>5</v>
      </c>
      <c r="W82" s="154">
        <v>5</v>
      </c>
      <c r="X82" s="154">
        <v>5</v>
      </c>
      <c r="Y82" s="154">
        <v>5</v>
      </c>
      <c r="Z82" s="154">
        <f t="shared" si="43"/>
        <v>100</v>
      </c>
      <c r="AA82" s="405">
        <f t="shared" si="26"/>
        <v>477500</v>
      </c>
      <c r="AB82" s="405">
        <f t="shared" si="27"/>
        <v>286500</v>
      </c>
      <c r="AC82" s="407">
        <f t="shared" si="28"/>
        <v>4300</v>
      </c>
      <c r="AD82" s="343"/>
      <c r="AE82" s="343"/>
      <c r="AF82" s="343"/>
      <c r="AG82" s="343"/>
      <c r="AH82" s="381"/>
      <c r="AI82" s="381"/>
      <c r="AJ82" s="381"/>
      <c r="AK82" s="381"/>
      <c r="AW82" s="217">
        <f t="shared" si="29"/>
        <v>5</v>
      </c>
      <c r="AX82" s="217">
        <f t="shared" si="30"/>
        <v>5</v>
      </c>
      <c r="AY82" s="217">
        <f t="shared" si="31"/>
        <v>5</v>
      </c>
      <c r="AZ82" s="217">
        <f t="shared" si="32"/>
        <v>5</v>
      </c>
      <c r="BA82" s="217">
        <f t="shared" si="33"/>
        <v>5</v>
      </c>
      <c r="BB82" s="217">
        <f t="shared" si="34"/>
        <v>5</v>
      </c>
      <c r="BC82" s="217">
        <f t="shared" si="35"/>
        <v>75</v>
      </c>
      <c r="BD82" s="217"/>
      <c r="BE82" s="217">
        <f t="shared" si="36"/>
        <v>5</v>
      </c>
      <c r="BF82" s="217">
        <f t="shared" si="37"/>
        <v>5</v>
      </c>
      <c r="BG82" s="217">
        <f t="shared" si="38"/>
        <v>5</v>
      </c>
      <c r="BH82" s="217">
        <f t="shared" si="39"/>
        <v>5</v>
      </c>
      <c r="BI82" s="217">
        <f t="shared" si="40"/>
        <v>5</v>
      </c>
      <c r="BJ82" s="217">
        <f t="shared" si="41"/>
        <v>5</v>
      </c>
      <c r="BK82" s="217">
        <f t="shared" si="42"/>
        <v>75</v>
      </c>
    </row>
    <row r="83" spans="2:63" s="372" customFormat="1" ht="30" customHeight="1" x14ac:dyDescent="0.35">
      <c r="B83" s="373" t="s">
        <v>566</v>
      </c>
      <c r="C83" s="374" t="s">
        <v>569</v>
      </c>
      <c r="D83" s="375" t="s">
        <v>791</v>
      </c>
      <c r="E83" s="375" t="s">
        <v>791</v>
      </c>
      <c r="F83" s="383">
        <f>7+36/60+40/3600</f>
        <v>7.6111111111111107</v>
      </c>
      <c r="G83" s="383">
        <f>134+34/60+50/3600</f>
        <v>134.58055555555555</v>
      </c>
      <c r="H83" s="383">
        <f>7+36/60+33/3600</f>
        <v>7.609166666666666</v>
      </c>
      <c r="I83" s="383">
        <f>134+33/60+41/3600</f>
        <v>134.5613888888889</v>
      </c>
      <c r="J83" s="375" t="s">
        <v>277</v>
      </c>
      <c r="K83" s="377" t="s">
        <v>983</v>
      </c>
      <c r="L83" s="377" t="s">
        <v>311</v>
      </c>
      <c r="M83" s="378">
        <v>1550</v>
      </c>
      <c r="N83" s="379">
        <v>6.1</v>
      </c>
      <c r="O83" s="375">
        <v>2</v>
      </c>
      <c r="P83" s="375" t="s">
        <v>83</v>
      </c>
      <c r="Q83" s="375" t="s">
        <v>503</v>
      </c>
      <c r="R83" s="375" t="s">
        <v>92</v>
      </c>
      <c r="S83" s="380" t="s">
        <v>92</v>
      </c>
      <c r="T83" s="154">
        <v>3</v>
      </c>
      <c r="U83" s="154">
        <v>2</v>
      </c>
      <c r="V83" s="154">
        <v>1</v>
      </c>
      <c r="W83" s="154">
        <v>1</v>
      </c>
      <c r="X83" s="154" t="s">
        <v>311</v>
      </c>
      <c r="Y83" s="154">
        <v>2</v>
      </c>
      <c r="Z83" s="154">
        <f t="shared" si="43"/>
        <v>43</v>
      </c>
      <c r="AA83" s="405">
        <f t="shared" si="26"/>
        <v>775000</v>
      </c>
      <c r="AB83" s="405">
        <f t="shared" si="27"/>
        <v>465000</v>
      </c>
      <c r="AC83" s="407">
        <f t="shared" si="28"/>
        <v>7000</v>
      </c>
      <c r="AD83" s="343"/>
      <c r="AE83" s="343"/>
      <c r="AF83" s="343"/>
      <c r="AG83" s="343"/>
      <c r="AH83" s="381"/>
      <c r="AI83" s="381">
        <f t="shared" ref="AI83:AI130" si="44">$M83*U$2</f>
        <v>465000</v>
      </c>
      <c r="AJ83" s="381">
        <f t="shared" ref="AJ83:AJ130" si="45">$M83*V$2</f>
        <v>155000</v>
      </c>
      <c r="AK83" s="381"/>
      <c r="AW83" s="217">
        <f t="shared" si="29"/>
        <v>3</v>
      </c>
      <c r="AX83" s="217">
        <f t="shared" si="30"/>
        <v>2</v>
      </c>
      <c r="AY83" s="217">
        <f t="shared" si="31"/>
        <v>1</v>
      </c>
      <c r="AZ83" s="217">
        <f t="shared" si="32"/>
        <v>1</v>
      </c>
      <c r="BA83" s="217">
        <f t="shared" si="33"/>
        <v>0</v>
      </c>
      <c r="BB83" s="217">
        <f t="shared" si="34"/>
        <v>2</v>
      </c>
      <c r="BC83" s="217">
        <f t="shared" si="35"/>
        <v>30</v>
      </c>
      <c r="BD83" s="217"/>
      <c r="BE83" s="217">
        <f t="shared" si="36"/>
        <v>5</v>
      </c>
      <c r="BF83" s="217">
        <f t="shared" si="37"/>
        <v>5</v>
      </c>
      <c r="BG83" s="217">
        <f t="shared" si="38"/>
        <v>5</v>
      </c>
      <c r="BH83" s="217">
        <f t="shared" si="39"/>
        <v>5</v>
      </c>
      <c r="BI83" s="217">
        <f t="shared" si="40"/>
        <v>0</v>
      </c>
      <c r="BJ83" s="217">
        <f t="shared" si="41"/>
        <v>5</v>
      </c>
      <c r="BK83" s="217">
        <f t="shared" si="42"/>
        <v>70</v>
      </c>
    </row>
    <row r="84" spans="2:63" s="372" customFormat="1" ht="30" customHeight="1" x14ac:dyDescent="0.35">
      <c r="B84" s="373" t="s">
        <v>571</v>
      </c>
      <c r="C84" s="374" t="s">
        <v>570</v>
      </c>
      <c r="D84" s="375" t="s">
        <v>792</v>
      </c>
      <c r="E84" s="375" t="s">
        <v>792</v>
      </c>
      <c r="F84" s="383">
        <f>7+36/60+40/3600</f>
        <v>7.6111111111111107</v>
      </c>
      <c r="G84" s="383">
        <f>134+34/60+50/3600</f>
        <v>134.58055555555555</v>
      </c>
      <c r="H84" s="383">
        <f>7+36/60+13/3600</f>
        <v>7.6036111111111104</v>
      </c>
      <c r="I84" s="383">
        <f>134+35/60+35/3600</f>
        <v>134.59305555555557</v>
      </c>
      <c r="J84" s="375" t="s">
        <v>277</v>
      </c>
      <c r="K84" s="377" t="s">
        <v>421</v>
      </c>
      <c r="L84" s="377" t="s">
        <v>311</v>
      </c>
      <c r="M84" s="378">
        <v>1820</v>
      </c>
      <c r="N84" s="379">
        <v>6.1</v>
      </c>
      <c r="O84" s="375">
        <v>2</v>
      </c>
      <c r="P84" s="375" t="s">
        <v>272</v>
      </c>
      <c r="Q84" s="375" t="s">
        <v>503</v>
      </c>
      <c r="R84" s="375" t="s">
        <v>92</v>
      </c>
      <c r="S84" s="380" t="s">
        <v>92</v>
      </c>
      <c r="T84" s="154">
        <v>2</v>
      </c>
      <c r="U84" s="154">
        <v>2</v>
      </c>
      <c r="V84" s="154">
        <v>1</v>
      </c>
      <c r="W84" s="154">
        <v>1</v>
      </c>
      <c r="X84" s="154" t="s">
        <v>311</v>
      </c>
      <c r="Y84" s="154">
        <v>2</v>
      </c>
      <c r="Z84" s="154">
        <f t="shared" si="43"/>
        <v>38</v>
      </c>
      <c r="AA84" s="405">
        <f t="shared" si="26"/>
        <v>910000</v>
      </c>
      <c r="AB84" s="405">
        <f t="shared" si="27"/>
        <v>546000</v>
      </c>
      <c r="AC84" s="407">
        <f t="shared" si="28"/>
        <v>8200</v>
      </c>
      <c r="AD84" s="343"/>
      <c r="AE84" s="343"/>
      <c r="AF84" s="343"/>
      <c r="AG84" s="343"/>
      <c r="AH84" s="381">
        <f t="shared" ref="AH84:AH124" si="46">$M84*T$2</f>
        <v>364000</v>
      </c>
      <c r="AI84" s="381">
        <f t="shared" si="44"/>
        <v>546000</v>
      </c>
      <c r="AJ84" s="381">
        <f t="shared" si="45"/>
        <v>182000</v>
      </c>
      <c r="AK84" s="381"/>
      <c r="AW84" s="217">
        <f t="shared" si="29"/>
        <v>2</v>
      </c>
      <c r="AX84" s="217">
        <f t="shared" si="30"/>
        <v>2</v>
      </c>
      <c r="AY84" s="217">
        <f t="shared" si="31"/>
        <v>1</v>
      </c>
      <c r="AZ84" s="217">
        <f t="shared" si="32"/>
        <v>1</v>
      </c>
      <c r="BA84" s="217">
        <f t="shared" si="33"/>
        <v>0</v>
      </c>
      <c r="BB84" s="217">
        <f t="shared" si="34"/>
        <v>2</v>
      </c>
      <c r="BC84" s="217">
        <f t="shared" si="35"/>
        <v>26</v>
      </c>
      <c r="BD84" s="217"/>
      <c r="BE84" s="217">
        <f t="shared" si="36"/>
        <v>5</v>
      </c>
      <c r="BF84" s="217">
        <f t="shared" si="37"/>
        <v>5</v>
      </c>
      <c r="BG84" s="217">
        <f t="shared" si="38"/>
        <v>5</v>
      </c>
      <c r="BH84" s="217">
        <f t="shared" si="39"/>
        <v>5</v>
      </c>
      <c r="BI84" s="217">
        <f t="shared" si="40"/>
        <v>0</v>
      </c>
      <c r="BJ84" s="217">
        <f t="shared" si="41"/>
        <v>5</v>
      </c>
      <c r="BK84" s="217">
        <f t="shared" si="42"/>
        <v>70</v>
      </c>
    </row>
    <row r="85" spans="2:63" s="372" customFormat="1" ht="30" customHeight="1" x14ac:dyDescent="0.35">
      <c r="B85" s="373" t="s">
        <v>606</v>
      </c>
      <c r="C85" s="374" t="s">
        <v>607</v>
      </c>
      <c r="D85" s="375" t="s">
        <v>791</v>
      </c>
      <c r="E85" s="375" t="s">
        <v>793</v>
      </c>
      <c r="F85" s="383">
        <f>7+33/60+51/3600</f>
        <v>7.5641666666666669</v>
      </c>
      <c r="G85" s="383">
        <f>134+35/60+21/3600</f>
        <v>134.58916666666667</v>
      </c>
      <c r="H85" s="383">
        <f>7+30/60+59/3600</f>
        <v>7.5163888888888888</v>
      </c>
      <c r="I85" s="383">
        <f>134+36/60+32/3600</f>
        <v>134.60888888888888</v>
      </c>
      <c r="J85" s="375" t="s">
        <v>99</v>
      </c>
      <c r="K85" s="377" t="s">
        <v>421</v>
      </c>
      <c r="L85" s="377" t="s">
        <v>311</v>
      </c>
      <c r="M85" s="385">
        <v>7820</v>
      </c>
      <c r="N85" s="379">
        <v>6.1</v>
      </c>
      <c r="O85" s="375">
        <v>2</v>
      </c>
      <c r="P85" s="375" t="s">
        <v>272</v>
      </c>
      <c r="Q85" s="375" t="s">
        <v>503</v>
      </c>
      <c r="R85" s="375" t="s">
        <v>92</v>
      </c>
      <c r="S85" s="380" t="s">
        <v>92</v>
      </c>
      <c r="T85" s="154">
        <v>2</v>
      </c>
      <c r="U85" s="154">
        <v>2</v>
      </c>
      <c r="V85" s="154">
        <v>1</v>
      </c>
      <c r="W85" s="154">
        <v>1</v>
      </c>
      <c r="X85" s="154" t="s">
        <v>311</v>
      </c>
      <c r="Y85" s="154">
        <v>2</v>
      </c>
      <c r="Z85" s="154">
        <f t="shared" si="43"/>
        <v>38</v>
      </c>
      <c r="AA85" s="405">
        <f t="shared" si="26"/>
        <v>3910000</v>
      </c>
      <c r="AB85" s="405">
        <f t="shared" si="27"/>
        <v>2346000</v>
      </c>
      <c r="AC85" s="407">
        <f t="shared" si="28"/>
        <v>35200</v>
      </c>
      <c r="AD85" s="343"/>
      <c r="AE85" s="343"/>
      <c r="AF85" s="343"/>
      <c r="AG85" s="343"/>
      <c r="AH85" s="381">
        <f t="shared" si="46"/>
        <v>1564000</v>
      </c>
      <c r="AI85" s="381">
        <f t="shared" si="44"/>
        <v>2346000</v>
      </c>
      <c r="AJ85" s="381">
        <f t="shared" si="45"/>
        <v>782000</v>
      </c>
      <c r="AK85" s="381"/>
      <c r="AW85" s="217">
        <f t="shared" si="29"/>
        <v>2</v>
      </c>
      <c r="AX85" s="217">
        <f t="shared" si="30"/>
        <v>2</v>
      </c>
      <c r="AY85" s="217">
        <f t="shared" si="31"/>
        <v>1</v>
      </c>
      <c r="AZ85" s="217">
        <f t="shared" si="32"/>
        <v>1</v>
      </c>
      <c r="BA85" s="217">
        <f t="shared" si="33"/>
        <v>0</v>
      </c>
      <c r="BB85" s="217">
        <f t="shared" si="34"/>
        <v>2</v>
      </c>
      <c r="BC85" s="217">
        <f t="shared" si="35"/>
        <v>26</v>
      </c>
      <c r="BD85" s="217"/>
      <c r="BE85" s="217">
        <f t="shared" si="36"/>
        <v>5</v>
      </c>
      <c r="BF85" s="217">
        <f t="shared" si="37"/>
        <v>5</v>
      </c>
      <c r="BG85" s="217">
        <f t="shared" si="38"/>
        <v>5</v>
      </c>
      <c r="BH85" s="217">
        <f t="shared" si="39"/>
        <v>5</v>
      </c>
      <c r="BI85" s="217">
        <f t="shared" si="40"/>
        <v>0</v>
      </c>
      <c r="BJ85" s="217">
        <f t="shared" si="41"/>
        <v>5</v>
      </c>
      <c r="BK85" s="217">
        <f t="shared" si="42"/>
        <v>70</v>
      </c>
    </row>
    <row r="86" spans="2:63" s="372" customFormat="1" ht="30" customHeight="1" x14ac:dyDescent="0.35">
      <c r="B86" s="373"/>
      <c r="C86" s="374"/>
      <c r="D86" s="375"/>
      <c r="E86" s="375"/>
      <c r="F86" s="383"/>
      <c r="G86" s="383"/>
      <c r="H86" s="383"/>
      <c r="I86" s="383"/>
      <c r="J86" s="375"/>
      <c r="K86" s="384"/>
      <c r="L86" s="377"/>
      <c r="M86" s="378"/>
      <c r="N86" s="379"/>
      <c r="O86" s="375"/>
      <c r="P86" s="375"/>
      <c r="Q86" s="375"/>
      <c r="R86" s="375"/>
      <c r="S86" s="380"/>
      <c r="T86" s="154"/>
      <c r="U86" s="154"/>
      <c r="V86" s="154"/>
      <c r="W86" s="154"/>
      <c r="X86" s="154"/>
      <c r="Y86" s="154"/>
      <c r="Z86" s="154"/>
      <c r="AA86" s="405">
        <f t="shared" si="26"/>
        <v>0</v>
      </c>
      <c r="AB86" s="405">
        <f t="shared" si="27"/>
        <v>0</v>
      </c>
      <c r="AC86" s="407">
        <f t="shared" si="28"/>
        <v>0</v>
      </c>
      <c r="AD86" s="343"/>
      <c r="AE86" s="343"/>
      <c r="AF86" s="343"/>
      <c r="AG86" s="343"/>
      <c r="AH86" s="381"/>
      <c r="AI86" s="381"/>
      <c r="AJ86" s="381"/>
      <c r="AK86" s="381"/>
      <c r="AW86" s="217">
        <f t="shared" si="29"/>
        <v>0</v>
      </c>
      <c r="AX86" s="217">
        <f t="shared" si="30"/>
        <v>0</v>
      </c>
      <c r="AY86" s="217">
        <f t="shared" si="31"/>
        <v>0</v>
      </c>
      <c r="AZ86" s="217">
        <f t="shared" si="32"/>
        <v>0</v>
      </c>
      <c r="BA86" s="217">
        <f t="shared" si="33"/>
        <v>0</v>
      </c>
      <c r="BB86" s="217">
        <f t="shared" si="34"/>
        <v>0</v>
      </c>
      <c r="BC86" s="217">
        <f t="shared" si="35"/>
        <v>0</v>
      </c>
      <c r="BD86" s="217"/>
      <c r="BE86" s="217">
        <f t="shared" si="36"/>
        <v>0</v>
      </c>
      <c r="BF86" s="217">
        <f t="shared" si="37"/>
        <v>0</v>
      </c>
      <c r="BG86" s="217">
        <f t="shared" si="38"/>
        <v>0</v>
      </c>
      <c r="BH86" s="217">
        <f t="shared" si="39"/>
        <v>0</v>
      </c>
      <c r="BI86" s="217">
        <f t="shared" si="40"/>
        <v>0</v>
      </c>
      <c r="BJ86" s="217">
        <f t="shared" si="41"/>
        <v>0</v>
      </c>
      <c r="BK86" s="217">
        <f t="shared" si="42"/>
        <v>0</v>
      </c>
    </row>
    <row r="87" spans="2:63" s="372" customFormat="1" ht="30" customHeight="1" x14ac:dyDescent="0.35">
      <c r="B87" s="373" t="s">
        <v>574</v>
      </c>
      <c r="C87" s="374" t="s">
        <v>575</v>
      </c>
      <c r="D87" s="375" t="s">
        <v>577</v>
      </c>
      <c r="E87" s="375" t="s">
        <v>577</v>
      </c>
      <c r="F87" s="383">
        <f>7+30/60+18/3600</f>
        <v>7.5049999999999999</v>
      </c>
      <c r="G87" s="383">
        <f>134+36/60+53/3600</f>
        <v>134.61472222222221</v>
      </c>
      <c r="H87" s="383">
        <f>7+30/60+6/3600</f>
        <v>7.5016666666666669</v>
      </c>
      <c r="I87" s="383">
        <f>134+38/60+2/3600</f>
        <v>134.63388888888889</v>
      </c>
      <c r="J87" s="375" t="s">
        <v>99</v>
      </c>
      <c r="K87" s="377">
        <v>2004</v>
      </c>
      <c r="L87" s="377">
        <v>2013</v>
      </c>
      <c r="M87" s="378">
        <v>2580</v>
      </c>
      <c r="N87" s="379">
        <v>7.3</v>
      </c>
      <c r="O87" s="375">
        <v>2</v>
      </c>
      <c r="P87" s="375" t="s">
        <v>272</v>
      </c>
      <c r="Q87" s="375" t="s">
        <v>578</v>
      </c>
      <c r="R87" s="375" t="s">
        <v>579</v>
      </c>
      <c r="S87" s="380" t="s">
        <v>580</v>
      </c>
      <c r="T87" s="154">
        <v>4</v>
      </c>
      <c r="U87" s="154">
        <v>4</v>
      </c>
      <c r="V87" s="154">
        <v>5</v>
      </c>
      <c r="W87" s="154">
        <v>5</v>
      </c>
      <c r="X87" s="154">
        <v>5</v>
      </c>
      <c r="Y87" s="154">
        <v>5</v>
      </c>
      <c r="Z87" s="154">
        <f t="shared" si="43"/>
        <v>90</v>
      </c>
      <c r="AA87" s="405">
        <f t="shared" si="26"/>
        <v>1290000</v>
      </c>
      <c r="AB87" s="405">
        <f t="shared" si="27"/>
        <v>774000</v>
      </c>
      <c r="AC87" s="407">
        <f t="shared" si="28"/>
        <v>11600</v>
      </c>
      <c r="AD87" s="343"/>
      <c r="AE87" s="343"/>
      <c r="AF87" s="343"/>
      <c r="AG87" s="343"/>
      <c r="AH87" s="381"/>
      <c r="AI87" s="381"/>
      <c r="AJ87" s="381"/>
      <c r="AK87" s="381"/>
      <c r="AW87" s="217">
        <f t="shared" si="29"/>
        <v>4</v>
      </c>
      <c r="AX87" s="217">
        <f t="shared" si="30"/>
        <v>4</v>
      </c>
      <c r="AY87" s="217">
        <f t="shared" si="31"/>
        <v>5</v>
      </c>
      <c r="AZ87" s="217">
        <f t="shared" si="32"/>
        <v>5</v>
      </c>
      <c r="BA87" s="217">
        <f t="shared" si="33"/>
        <v>5</v>
      </c>
      <c r="BB87" s="217">
        <f t="shared" si="34"/>
        <v>5</v>
      </c>
      <c r="BC87" s="217">
        <f t="shared" si="35"/>
        <v>67</v>
      </c>
      <c r="BD87" s="217"/>
      <c r="BE87" s="217">
        <f t="shared" si="36"/>
        <v>5</v>
      </c>
      <c r="BF87" s="217">
        <f t="shared" si="37"/>
        <v>5</v>
      </c>
      <c r="BG87" s="217">
        <f t="shared" si="38"/>
        <v>5</v>
      </c>
      <c r="BH87" s="217">
        <f t="shared" si="39"/>
        <v>5</v>
      </c>
      <c r="BI87" s="217">
        <f t="shared" si="40"/>
        <v>5</v>
      </c>
      <c r="BJ87" s="217">
        <f t="shared" si="41"/>
        <v>5</v>
      </c>
      <c r="BK87" s="217">
        <f t="shared" si="42"/>
        <v>75</v>
      </c>
    </row>
    <row r="88" spans="2:63" s="372" customFormat="1" ht="30" customHeight="1" x14ac:dyDescent="0.35">
      <c r="B88" s="373" t="s">
        <v>581</v>
      </c>
      <c r="C88" s="374" t="s">
        <v>582</v>
      </c>
      <c r="D88" s="375" t="s">
        <v>583</v>
      </c>
      <c r="E88" s="375" t="s">
        <v>583</v>
      </c>
      <c r="F88" s="383">
        <f>7+30/60+32/3600</f>
        <v>7.5088888888888885</v>
      </c>
      <c r="G88" s="383">
        <f>134+37/60+37/3600</f>
        <v>134.62694444444446</v>
      </c>
      <c r="H88" s="383">
        <f>7+30/60+27/3600</f>
        <v>7.5075000000000003</v>
      </c>
      <c r="I88" s="383">
        <f>134+37/60+43/3600</f>
        <v>134.62861111111113</v>
      </c>
      <c r="J88" s="375" t="s">
        <v>277</v>
      </c>
      <c r="K88" s="377">
        <v>1986</v>
      </c>
      <c r="L88" s="377">
        <v>2002</v>
      </c>
      <c r="M88" s="378">
        <v>230</v>
      </c>
      <c r="N88" s="379">
        <v>7.3</v>
      </c>
      <c r="O88" s="375">
        <v>2</v>
      </c>
      <c r="P88" s="375" t="s">
        <v>83</v>
      </c>
      <c r="Q88" s="375" t="s">
        <v>578</v>
      </c>
      <c r="R88" s="375" t="s">
        <v>521</v>
      </c>
      <c r="S88" s="380" t="s">
        <v>580</v>
      </c>
      <c r="T88" s="154">
        <v>5</v>
      </c>
      <c r="U88" s="154">
        <v>5</v>
      </c>
      <c r="V88" s="154">
        <v>5</v>
      </c>
      <c r="W88" s="154">
        <v>5</v>
      </c>
      <c r="X88" s="154">
        <v>5</v>
      </c>
      <c r="Y88" s="154">
        <v>5</v>
      </c>
      <c r="Z88" s="154">
        <f t="shared" si="43"/>
        <v>100</v>
      </c>
      <c r="AA88" s="405">
        <f t="shared" si="26"/>
        <v>115000</v>
      </c>
      <c r="AB88" s="405">
        <f t="shared" si="27"/>
        <v>69000</v>
      </c>
      <c r="AC88" s="407">
        <f t="shared" si="28"/>
        <v>1000</v>
      </c>
      <c r="AD88" s="343"/>
      <c r="AE88" s="343"/>
      <c r="AF88" s="343"/>
      <c r="AG88" s="343"/>
      <c r="AH88" s="381"/>
      <c r="AI88" s="381"/>
      <c r="AJ88" s="381"/>
      <c r="AK88" s="381"/>
      <c r="AW88" s="217">
        <f t="shared" si="29"/>
        <v>5</v>
      </c>
      <c r="AX88" s="217">
        <f t="shared" si="30"/>
        <v>5</v>
      </c>
      <c r="AY88" s="217">
        <f t="shared" si="31"/>
        <v>5</v>
      </c>
      <c r="AZ88" s="217">
        <f t="shared" si="32"/>
        <v>5</v>
      </c>
      <c r="BA88" s="217">
        <f t="shared" si="33"/>
        <v>5</v>
      </c>
      <c r="BB88" s="217">
        <f t="shared" si="34"/>
        <v>5</v>
      </c>
      <c r="BC88" s="217">
        <f t="shared" si="35"/>
        <v>75</v>
      </c>
      <c r="BD88" s="217"/>
      <c r="BE88" s="217">
        <f t="shared" si="36"/>
        <v>5</v>
      </c>
      <c r="BF88" s="217">
        <f t="shared" si="37"/>
        <v>5</v>
      </c>
      <c r="BG88" s="217">
        <f t="shared" si="38"/>
        <v>5</v>
      </c>
      <c r="BH88" s="217">
        <f t="shared" si="39"/>
        <v>5</v>
      </c>
      <c r="BI88" s="217">
        <f t="shared" si="40"/>
        <v>5</v>
      </c>
      <c r="BJ88" s="217">
        <f t="shared" si="41"/>
        <v>5</v>
      </c>
      <c r="BK88" s="217">
        <f t="shared" si="42"/>
        <v>75</v>
      </c>
    </row>
    <row r="89" spans="2:63" s="372" customFormat="1" ht="30" customHeight="1" x14ac:dyDescent="0.35">
      <c r="B89" s="373" t="s">
        <v>584</v>
      </c>
      <c r="C89" s="374" t="s">
        <v>587</v>
      </c>
      <c r="D89" s="375" t="s">
        <v>583</v>
      </c>
      <c r="E89" s="375" t="s">
        <v>583</v>
      </c>
      <c r="F89" s="383">
        <f>7+30/60+27/3600</f>
        <v>7.5075000000000003</v>
      </c>
      <c r="G89" s="383">
        <f>134+37/60+43/3600</f>
        <v>134.62861111111113</v>
      </c>
      <c r="H89" s="383">
        <f>7+30/60+23/3600</f>
        <v>7.506388888888889</v>
      </c>
      <c r="I89" s="383">
        <f>134+37/60+51/3600</f>
        <v>134.63083333333333</v>
      </c>
      <c r="J89" s="375" t="s">
        <v>277</v>
      </c>
      <c r="K89" s="377">
        <v>1986</v>
      </c>
      <c r="L89" s="377">
        <v>2004</v>
      </c>
      <c r="M89" s="378">
        <v>305</v>
      </c>
      <c r="N89" s="379">
        <v>7.3</v>
      </c>
      <c r="O89" s="375">
        <v>2</v>
      </c>
      <c r="P89" s="375" t="s">
        <v>83</v>
      </c>
      <c r="Q89" s="375" t="s">
        <v>578</v>
      </c>
      <c r="R89" s="375" t="s">
        <v>521</v>
      </c>
      <c r="S89" s="380" t="s">
        <v>580</v>
      </c>
      <c r="T89" s="154">
        <v>5</v>
      </c>
      <c r="U89" s="154">
        <v>5</v>
      </c>
      <c r="V89" s="154">
        <v>5</v>
      </c>
      <c r="W89" s="154">
        <v>5</v>
      </c>
      <c r="X89" s="154">
        <v>5</v>
      </c>
      <c r="Y89" s="154">
        <v>5</v>
      </c>
      <c r="Z89" s="154">
        <f t="shared" si="43"/>
        <v>100</v>
      </c>
      <c r="AA89" s="405">
        <f t="shared" si="26"/>
        <v>152500</v>
      </c>
      <c r="AB89" s="405">
        <f t="shared" si="27"/>
        <v>91500</v>
      </c>
      <c r="AC89" s="407">
        <f t="shared" si="28"/>
        <v>1400</v>
      </c>
      <c r="AD89" s="343"/>
      <c r="AE89" s="343"/>
      <c r="AF89" s="343"/>
      <c r="AG89" s="343"/>
      <c r="AH89" s="381"/>
      <c r="AI89" s="381"/>
      <c r="AJ89" s="381"/>
      <c r="AK89" s="381"/>
      <c r="AW89" s="217">
        <f t="shared" si="29"/>
        <v>5</v>
      </c>
      <c r="AX89" s="217">
        <f t="shared" si="30"/>
        <v>5</v>
      </c>
      <c r="AY89" s="217">
        <f t="shared" si="31"/>
        <v>5</v>
      </c>
      <c r="AZ89" s="217">
        <f t="shared" si="32"/>
        <v>5</v>
      </c>
      <c r="BA89" s="217">
        <f t="shared" si="33"/>
        <v>5</v>
      </c>
      <c r="BB89" s="217">
        <f t="shared" si="34"/>
        <v>5</v>
      </c>
      <c r="BC89" s="217">
        <f t="shared" si="35"/>
        <v>75</v>
      </c>
      <c r="BD89" s="217"/>
      <c r="BE89" s="217">
        <f t="shared" si="36"/>
        <v>5</v>
      </c>
      <c r="BF89" s="217">
        <f t="shared" si="37"/>
        <v>5</v>
      </c>
      <c r="BG89" s="217">
        <f t="shared" si="38"/>
        <v>5</v>
      </c>
      <c r="BH89" s="217">
        <f t="shared" si="39"/>
        <v>5</v>
      </c>
      <c r="BI89" s="217">
        <f t="shared" si="40"/>
        <v>5</v>
      </c>
      <c r="BJ89" s="217">
        <f t="shared" si="41"/>
        <v>5</v>
      </c>
      <c r="BK89" s="217">
        <f t="shared" si="42"/>
        <v>75</v>
      </c>
    </row>
    <row r="90" spans="2:63" s="372" customFormat="1" ht="30" customHeight="1" x14ac:dyDescent="0.35">
      <c r="B90" s="373" t="s">
        <v>585</v>
      </c>
      <c r="C90" s="374" t="s">
        <v>588</v>
      </c>
      <c r="D90" s="375" t="s">
        <v>583</v>
      </c>
      <c r="E90" s="375" t="s">
        <v>583</v>
      </c>
      <c r="F90" s="383">
        <f>7+30/60+23/3600</f>
        <v>7.506388888888889</v>
      </c>
      <c r="G90" s="383">
        <f>134+37/60+51/3600</f>
        <v>134.63083333333333</v>
      </c>
      <c r="H90" s="383">
        <f>7+30/60+17/3600</f>
        <v>7.5047222222222221</v>
      </c>
      <c r="I90" s="383">
        <f>134+37/60+58/3600</f>
        <v>134.63277777777779</v>
      </c>
      <c r="J90" s="375" t="s">
        <v>277</v>
      </c>
      <c r="K90" s="377">
        <v>1986</v>
      </c>
      <c r="L90" s="377">
        <v>2005</v>
      </c>
      <c r="M90" s="378">
        <v>305</v>
      </c>
      <c r="N90" s="379">
        <v>7.3</v>
      </c>
      <c r="O90" s="375">
        <v>2</v>
      </c>
      <c r="P90" s="375" t="s">
        <v>83</v>
      </c>
      <c r="Q90" s="375" t="s">
        <v>578</v>
      </c>
      <c r="R90" s="375" t="s">
        <v>521</v>
      </c>
      <c r="S90" s="380" t="s">
        <v>580</v>
      </c>
      <c r="T90" s="154">
        <v>5</v>
      </c>
      <c r="U90" s="154">
        <v>5</v>
      </c>
      <c r="V90" s="154">
        <v>5</v>
      </c>
      <c r="W90" s="154">
        <v>5</v>
      </c>
      <c r="X90" s="154">
        <v>5</v>
      </c>
      <c r="Y90" s="154">
        <v>5</v>
      </c>
      <c r="Z90" s="154">
        <f t="shared" si="43"/>
        <v>100</v>
      </c>
      <c r="AA90" s="405">
        <f t="shared" si="26"/>
        <v>152500</v>
      </c>
      <c r="AB90" s="405">
        <f t="shared" si="27"/>
        <v>91500</v>
      </c>
      <c r="AC90" s="407">
        <f t="shared" si="28"/>
        <v>1400</v>
      </c>
      <c r="AD90" s="343"/>
      <c r="AE90" s="343"/>
      <c r="AF90" s="343"/>
      <c r="AG90" s="343"/>
      <c r="AH90" s="381"/>
      <c r="AI90" s="381"/>
      <c r="AJ90" s="381"/>
      <c r="AK90" s="381"/>
      <c r="AW90" s="217">
        <f t="shared" si="29"/>
        <v>5</v>
      </c>
      <c r="AX90" s="217">
        <f t="shared" si="30"/>
        <v>5</v>
      </c>
      <c r="AY90" s="217">
        <f t="shared" si="31"/>
        <v>5</v>
      </c>
      <c r="AZ90" s="217">
        <f t="shared" si="32"/>
        <v>5</v>
      </c>
      <c r="BA90" s="217">
        <f t="shared" si="33"/>
        <v>5</v>
      </c>
      <c r="BB90" s="217">
        <f t="shared" si="34"/>
        <v>5</v>
      </c>
      <c r="BC90" s="217">
        <f t="shared" si="35"/>
        <v>75</v>
      </c>
      <c r="BD90" s="217"/>
      <c r="BE90" s="217">
        <f t="shared" si="36"/>
        <v>5</v>
      </c>
      <c r="BF90" s="217">
        <f t="shared" si="37"/>
        <v>5</v>
      </c>
      <c r="BG90" s="217">
        <f t="shared" si="38"/>
        <v>5</v>
      </c>
      <c r="BH90" s="217">
        <f t="shared" si="39"/>
        <v>5</v>
      </c>
      <c r="BI90" s="217">
        <f t="shared" si="40"/>
        <v>5</v>
      </c>
      <c r="BJ90" s="217">
        <f t="shared" si="41"/>
        <v>5</v>
      </c>
      <c r="BK90" s="217">
        <f t="shared" si="42"/>
        <v>75</v>
      </c>
    </row>
    <row r="91" spans="2:63" s="372" customFormat="1" ht="30" customHeight="1" x14ac:dyDescent="0.35">
      <c r="B91" s="373" t="s">
        <v>586</v>
      </c>
      <c r="C91" s="374" t="s">
        <v>589</v>
      </c>
      <c r="D91" s="375" t="s">
        <v>583</v>
      </c>
      <c r="E91" s="375" t="s">
        <v>583</v>
      </c>
      <c r="F91" s="383">
        <f>7+30/60+17/3600</f>
        <v>7.5047222222222221</v>
      </c>
      <c r="G91" s="383">
        <f>134+37/60+58/3600</f>
        <v>134.63277777777779</v>
      </c>
      <c r="H91" s="383">
        <f>7+30/60+8/3600</f>
        <v>7.5022222222222226</v>
      </c>
      <c r="I91" s="383">
        <f>134+38/60+2/3600</f>
        <v>134.63388888888889</v>
      </c>
      <c r="J91" s="375" t="s">
        <v>277</v>
      </c>
      <c r="K91" s="377">
        <v>1986</v>
      </c>
      <c r="L91" s="377">
        <v>2006</v>
      </c>
      <c r="M91" s="378">
        <v>305</v>
      </c>
      <c r="N91" s="379">
        <v>7.3</v>
      </c>
      <c r="O91" s="375">
        <v>2</v>
      </c>
      <c r="P91" s="375" t="s">
        <v>83</v>
      </c>
      <c r="Q91" s="375" t="s">
        <v>578</v>
      </c>
      <c r="R91" s="375" t="s">
        <v>521</v>
      </c>
      <c r="S91" s="380" t="s">
        <v>580</v>
      </c>
      <c r="T91" s="154">
        <v>5</v>
      </c>
      <c r="U91" s="154">
        <v>5</v>
      </c>
      <c r="V91" s="154">
        <v>5</v>
      </c>
      <c r="W91" s="154">
        <v>5</v>
      </c>
      <c r="X91" s="154">
        <v>5</v>
      </c>
      <c r="Y91" s="154">
        <v>5</v>
      </c>
      <c r="Z91" s="154">
        <f t="shared" si="43"/>
        <v>100</v>
      </c>
      <c r="AA91" s="405">
        <f t="shared" si="26"/>
        <v>152500</v>
      </c>
      <c r="AB91" s="405">
        <f t="shared" si="27"/>
        <v>91500</v>
      </c>
      <c r="AC91" s="407">
        <f t="shared" si="28"/>
        <v>1400</v>
      </c>
      <c r="AD91" s="343"/>
      <c r="AE91" s="343"/>
      <c r="AF91" s="343"/>
      <c r="AG91" s="343"/>
      <c r="AH91" s="381"/>
      <c r="AI91" s="381"/>
      <c r="AJ91" s="381"/>
      <c r="AK91" s="381"/>
      <c r="AW91" s="217">
        <f t="shared" si="29"/>
        <v>5</v>
      </c>
      <c r="AX91" s="217">
        <f t="shared" si="30"/>
        <v>5</v>
      </c>
      <c r="AY91" s="217">
        <f t="shared" si="31"/>
        <v>5</v>
      </c>
      <c r="AZ91" s="217">
        <f t="shared" si="32"/>
        <v>5</v>
      </c>
      <c r="BA91" s="217">
        <f t="shared" si="33"/>
        <v>5</v>
      </c>
      <c r="BB91" s="217">
        <f t="shared" si="34"/>
        <v>5</v>
      </c>
      <c r="BC91" s="217">
        <f t="shared" si="35"/>
        <v>75</v>
      </c>
      <c r="BD91" s="217"/>
      <c r="BE91" s="217">
        <f t="shared" si="36"/>
        <v>5</v>
      </c>
      <c r="BF91" s="217">
        <f t="shared" si="37"/>
        <v>5</v>
      </c>
      <c r="BG91" s="217">
        <f t="shared" si="38"/>
        <v>5</v>
      </c>
      <c r="BH91" s="217">
        <f t="shared" si="39"/>
        <v>5</v>
      </c>
      <c r="BI91" s="217">
        <f t="shared" si="40"/>
        <v>5</v>
      </c>
      <c r="BJ91" s="217">
        <f t="shared" si="41"/>
        <v>5</v>
      </c>
      <c r="BK91" s="217">
        <f t="shared" si="42"/>
        <v>75</v>
      </c>
    </row>
    <row r="92" spans="2:63" s="372" customFormat="1" ht="30" customHeight="1" x14ac:dyDescent="0.35">
      <c r="B92" s="373" t="s">
        <v>590</v>
      </c>
      <c r="C92" s="374" t="s">
        <v>591</v>
      </c>
      <c r="D92" s="375" t="s">
        <v>583</v>
      </c>
      <c r="E92" s="375" t="s">
        <v>594</v>
      </c>
      <c r="F92" s="383">
        <f>7+30/60+8/3600</f>
        <v>7.5022222222222226</v>
      </c>
      <c r="G92" s="383">
        <f>134+38/60+2/3600</f>
        <v>134.63388888888889</v>
      </c>
      <c r="H92" s="383">
        <f>7+29/60+53/3600</f>
        <v>7.4980555555555553</v>
      </c>
      <c r="I92" s="383">
        <f>134+38/60+10/3600</f>
        <v>134.63611111111109</v>
      </c>
      <c r="J92" s="375" t="s">
        <v>99</v>
      </c>
      <c r="K92" s="377">
        <v>1986</v>
      </c>
      <c r="L92" s="377">
        <v>2008</v>
      </c>
      <c r="M92" s="378">
        <v>540</v>
      </c>
      <c r="N92" s="379">
        <v>7.3</v>
      </c>
      <c r="O92" s="375">
        <v>2</v>
      </c>
      <c r="P92" s="375" t="s">
        <v>83</v>
      </c>
      <c r="Q92" s="375" t="s">
        <v>578</v>
      </c>
      <c r="R92" s="375" t="s">
        <v>521</v>
      </c>
      <c r="S92" s="380" t="s">
        <v>580</v>
      </c>
      <c r="T92" s="154">
        <v>5</v>
      </c>
      <c r="U92" s="154">
        <v>5</v>
      </c>
      <c r="V92" s="154">
        <v>5</v>
      </c>
      <c r="W92" s="154">
        <v>5</v>
      </c>
      <c r="X92" s="154">
        <v>5</v>
      </c>
      <c r="Y92" s="154">
        <v>5</v>
      </c>
      <c r="Z92" s="154">
        <f t="shared" si="43"/>
        <v>100</v>
      </c>
      <c r="AA92" s="405">
        <f t="shared" si="26"/>
        <v>270000</v>
      </c>
      <c r="AB92" s="405">
        <f t="shared" si="27"/>
        <v>162000</v>
      </c>
      <c r="AC92" s="407">
        <f t="shared" si="28"/>
        <v>2400</v>
      </c>
      <c r="AD92" s="343"/>
      <c r="AE92" s="343"/>
      <c r="AF92" s="343"/>
      <c r="AG92" s="343"/>
      <c r="AH92" s="381"/>
      <c r="AI92" s="381"/>
      <c r="AJ92" s="381"/>
      <c r="AK92" s="381"/>
      <c r="AW92" s="217">
        <f t="shared" si="29"/>
        <v>5</v>
      </c>
      <c r="AX92" s="217">
        <f t="shared" si="30"/>
        <v>5</v>
      </c>
      <c r="AY92" s="217">
        <f t="shared" si="31"/>
        <v>5</v>
      </c>
      <c r="AZ92" s="217">
        <f t="shared" si="32"/>
        <v>5</v>
      </c>
      <c r="BA92" s="217">
        <f t="shared" si="33"/>
        <v>5</v>
      </c>
      <c r="BB92" s="217">
        <f t="shared" si="34"/>
        <v>5</v>
      </c>
      <c r="BC92" s="217">
        <f t="shared" si="35"/>
        <v>75</v>
      </c>
      <c r="BD92" s="217"/>
      <c r="BE92" s="217">
        <f t="shared" si="36"/>
        <v>5</v>
      </c>
      <c r="BF92" s="217">
        <f t="shared" si="37"/>
        <v>5</v>
      </c>
      <c r="BG92" s="217">
        <f t="shared" si="38"/>
        <v>5</v>
      </c>
      <c r="BH92" s="217">
        <f t="shared" si="39"/>
        <v>5</v>
      </c>
      <c r="BI92" s="217">
        <f t="shared" si="40"/>
        <v>5</v>
      </c>
      <c r="BJ92" s="217">
        <f t="shared" si="41"/>
        <v>5</v>
      </c>
      <c r="BK92" s="217">
        <f t="shared" si="42"/>
        <v>75</v>
      </c>
    </row>
    <row r="93" spans="2:63" s="372" customFormat="1" ht="30" customHeight="1" x14ac:dyDescent="0.35">
      <c r="B93" s="373" t="s">
        <v>593</v>
      </c>
      <c r="C93" s="374" t="s">
        <v>592</v>
      </c>
      <c r="D93" s="375" t="s">
        <v>594</v>
      </c>
      <c r="E93" s="375" t="s">
        <v>594</v>
      </c>
      <c r="F93" s="383">
        <f>7+29/60+53/3600</f>
        <v>7.4980555555555553</v>
      </c>
      <c r="G93" s="383">
        <f>134+38/60+10/3600</f>
        <v>134.63611111111109</v>
      </c>
      <c r="H93" s="383">
        <f>7+29/60+14/3600</f>
        <v>7.487222222222222</v>
      </c>
      <c r="I93" s="383">
        <f>134+37/60+38/3600</f>
        <v>134.62722222222223</v>
      </c>
      <c r="J93" s="375" t="s">
        <v>99</v>
      </c>
      <c r="K93" s="377">
        <v>1986</v>
      </c>
      <c r="L93" s="377">
        <v>2009</v>
      </c>
      <c r="M93" s="378">
        <v>1755</v>
      </c>
      <c r="N93" s="379">
        <v>7.3</v>
      </c>
      <c r="O93" s="375">
        <v>2</v>
      </c>
      <c r="P93" s="375" t="s">
        <v>83</v>
      </c>
      <c r="Q93" s="375" t="s">
        <v>578</v>
      </c>
      <c r="R93" s="375" t="s">
        <v>521</v>
      </c>
      <c r="S93" s="380" t="s">
        <v>580</v>
      </c>
      <c r="T93" s="154">
        <v>5</v>
      </c>
      <c r="U93" s="154">
        <v>5</v>
      </c>
      <c r="V93" s="154">
        <v>5</v>
      </c>
      <c r="W93" s="154">
        <v>5</v>
      </c>
      <c r="X93" s="154">
        <v>5</v>
      </c>
      <c r="Y93" s="154">
        <v>5</v>
      </c>
      <c r="Z93" s="154">
        <f t="shared" si="43"/>
        <v>100</v>
      </c>
      <c r="AA93" s="405">
        <f t="shared" si="26"/>
        <v>877500</v>
      </c>
      <c r="AB93" s="405">
        <f t="shared" si="27"/>
        <v>526500</v>
      </c>
      <c r="AC93" s="407">
        <f t="shared" si="28"/>
        <v>7900</v>
      </c>
      <c r="AD93" s="343"/>
      <c r="AE93" s="343"/>
      <c r="AF93" s="343"/>
      <c r="AG93" s="343"/>
      <c r="AH93" s="381"/>
      <c r="AI93" s="381"/>
      <c r="AJ93" s="381"/>
      <c r="AK93" s="381"/>
      <c r="AW93" s="217">
        <f t="shared" si="29"/>
        <v>5</v>
      </c>
      <c r="AX93" s="217">
        <f t="shared" si="30"/>
        <v>5</v>
      </c>
      <c r="AY93" s="217">
        <f t="shared" si="31"/>
        <v>5</v>
      </c>
      <c r="AZ93" s="217">
        <f t="shared" si="32"/>
        <v>5</v>
      </c>
      <c r="BA93" s="217">
        <f t="shared" si="33"/>
        <v>5</v>
      </c>
      <c r="BB93" s="217">
        <f t="shared" si="34"/>
        <v>5</v>
      </c>
      <c r="BC93" s="217">
        <f t="shared" si="35"/>
        <v>75</v>
      </c>
      <c r="BD93" s="217"/>
      <c r="BE93" s="217">
        <f t="shared" si="36"/>
        <v>5</v>
      </c>
      <c r="BF93" s="217">
        <f t="shared" si="37"/>
        <v>5</v>
      </c>
      <c r="BG93" s="217">
        <f t="shared" si="38"/>
        <v>5</v>
      </c>
      <c r="BH93" s="217">
        <f t="shared" si="39"/>
        <v>5</v>
      </c>
      <c r="BI93" s="217">
        <f t="shared" si="40"/>
        <v>5</v>
      </c>
      <c r="BJ93" s="217">
        <f t="shared" si="41"/>
        <v>5</v>
      </c>
      <c r="BK93" s="217">
        <f t="shared" si="42"/>
        <v>75</v>
      </c>
    </row>
    <row r="94" spans="2:63" s="372" customFormat="1" ht="30" customHeight="1" x14ac:dyDescent="0.35">
      <c r="B94" s="373" t="s">
        <v>595</v>
      </c>
      <c r="C94" s="374" t="s">
        <v>596</v>
      </c>
      <c r="D94" s="375" t="s">
        <v>594</v>
      </c>
      <c r="E94" s="375" t="s">
        <v>594</v>
      </c>
      <c r="F94" s="383">
        <f>7+29/60+15/3600</f>
        <v>7.4874999999999998</v>
      </c>
      <c r="G94" s="383">
        <f>134+37/60+30/3600</f>
        <v>134.625</v>
      </c>
      <c r="H94" s="383">
        <f>7+29/60+14/3600</f>
        <v>7.487222222222222</v>
      </c>
      <c r="I94" s="383">
        <f>134+37/60+38/3600</f>
        <v>134.62722222222223</v>
      </c>
      <c r="J94" s="375" t="s">
        <v>99</v>
      </c>
      <c r="K94" s="377">
        <v>2015</v>
      </c>
      <c r="L94" s="377" t="s">
        <v>311</v>
      </c>
      <c r="M94" s="378">
        <v>350</v>
      </c>
      <c r="N94" s="379">
        <v>7.3</v>
      </c>
      <c r="O94" s="375">
        <v>2</v>
      </c>
      <c r="P94" s="375" t="s">
        <v>272</v>
      </c>
      <c r="Q94" s="375" t="s">
        <v>578</v>
      </c>
      <c r="R94" s="375" t="s">
        <v>521</v>
      </c>
      <c r="S94" s="380" t="s">
        <v>580</v>
      </c>
      <c r="T94" s="154">
        <v>5</v>
      </c>
      <c r="U94" s="154">
        <v>5</v>
      </c>
      <c r="V94" s="154">
        <v>5</v>
      </c>
      <c r="W94" s="154">
        <v>5</v>
      </c>
      <c r="X94" s="154">
        <v>5</v>
      </c>
      <c r="Y94" s="154">
        <v>5</v>
      </c>
      <c r="Z94" s="154">
        <f t="shared" si="43"/>
        <v>100</v>
      </c>
      <c r="AA94" s="405">
        <f t="shared" si="26"/>
        <v>175000</v>
      </c>
      <c r="AB94" s="405">
        <f t="shared" si="27"/>
        <v>105000</v>
      </c>
      <c r="AC94" s="407">
        <f t="shared" si="28"/>
        <v>1600</v>
      </c>
      <c r="AD94" s="343"/>
      <c r="AE94" s="343"/>
      <c r="AF94" s="343"/>
      <c r="AG94" s="343"/>
      <c r="AH94" s="381"/>
      <c r="AI94" s="381"/>
      <c r="AJ94" s="381"/>
      <c r="AK94" s="381"/>
      <c r="AW94" s="217">
        <f t="shared" si="29"/>
        <v>5</v>
      </c>
      <c r="AX94" s="217">
        <f t="shared" si="30"/>
        <v>5</v>
      </c>
      <c r="AY94" s="217">
        <f t="shared" si="31"/>
        <v>5</v>
      </c>
      <c r="AZ94" s="217">
        <f t="shared" si="32"/>
        <v>5</v>
      </c>
      <c r="BA94" s="217">
        <f t="shared" si="33"/>
        <v>5</v>
      </c>
      <c r="BB94" s="217">
        <f t="shared" si="34"/>
        <v>5</v>
      </c>
      <c r="BC94" s="217">
        <f t="shared" si="35"/>
        <v>75</v>
      </c>
      <c r="BD94" s="217"/>
      <c r="BE94" s="217">
        <f t="shared" si="36"/>
        <v>5</v>
      </c>
      <c r="BF94" s="217">
        <f t="shared" si="37"/>
        <v>5</v>
      </c>
      <c r="BG94" s="217">
        <f t="shared" si="38"/>
        <v>5</v>
      </c>
      <c r="BH94" s="217">
        <f t="shared" si="39"/>
        <v>5</v>
      </c>
      <c r="BI94" s="217">
        <f t="shared" si="40"/>
        <v>5</v>
      </c>
      <c r="BJ94" s="217">
        <f t="shared" si="41"/>
        <v>5</v>
      </c>
      <c r="BK94" s="217">
        <f t="shared" si="42"/>
        <v>75</v>
      </c>
    </row>
    <row r="95" spans="2:63" s="372" customFormat="1" ht="30" customHeight="1" x14ac:dyDescent="0.35">
      <c r="B95" s="373" t="s">
        <v>597</v>
      </c>
      <c r="C95" s="374" t="s">
        <v>598</v>
      </c>
      <c r="D95" s="375" t="s">
        <v>594</v>
      </c>
      <c r="E95" s="375" t="s">
        <v>594</v>
      </c>
      <c r="F95" s="383">
        <f>7+29/60+14/3600</f>
        <v>7.487222222222222</v>
      </c>
      <c r="G95" s="383">
        <f>134+37/60+38/3600</f>
        <v>134.62722222222223</v>
      </c>
      <c r="H95" s="383">
        <f>7+29/60+22/3600</f>
        <v>7.4894444444444446</v>
      </c>
      <c r="I95" s="383">
        <f>134+37/60+22/3600</f>
        <v>134.6227777777778</v>
      </c>
      <c r="J95" s="375" t="s">
        <v>99</v>
      </c>
      <c r="K95" s="377">
        <v>2016</v>
      </c>
      <c r="L95" s="377" t="s">
        <v>311</v>
      </c>
      <c r="M95" s="378">
        <v>365</v>
      </c>
      <c r="N95" s="379">
        <v>7.3</v>
      </c>
      <c r="O95" s="375">
        <v>2</v>
      </c>
      <c r="P95" s="375" t="s">
        <v>272</v>
      </c>
      <c r="Q95" s="375" t="s">
        <v>578</v>
      </c>
      <c r="R95" s="375" t="s">
        <v>521</v>
      </c>
      <c r="S95" s="380" t="s">
        <v>580</v>
      </c>
      <c r="T95" s="154">
        <v>5</v>
      </c>
      <c r="U95" s="154">
        <v>5</v>
      </c>
      <c r="V95" s="154">
        <v>5</v>
      </c>
      <c r="W95" s="154">
        <v>5</v>
      </c>
      <c r="X95" s="154">
        <v>5</v>
      </c>
      <c r="Y95" s="154">
        <v>5</v>
      </c>
      <c r="Z95" s="154">
        <f t="shared" si="43"/>
        <v>100</v>
      </c>
      <c r="AA95" s="405">
        <f t="shared" si="26"/>
        <v>182500</v>
      </c>
      <c r="AB95" s="405">
        <f t="shared" si="27"/>
        <v>109500</v>
      </c>
      <c r="AC95" s="407">
        <f t="shared" si="28"/>
        <v>1600</v>
      </c>
      <c r="AD95" s="343"/>
      <c r="AE95" s="343"/>
      <c r="AF95" s="343"/>
      <c r="AG95" s="343"/>
      <c r="AH95" s="381"/>
      <c r="AI95" s="381"/>
      <c r="AJ95" s="381"/>
      <c r="AK95" s="381"/>
      <c r="AW95" s="217">
        <f t="shared" si="29"/>
        <v>5</v>
      </c>
      <c r="AX95" s="217">
        <f t="shared" si="30"/>
        <v>5</v>
      </c>
      <c r="AY95" s="217">
        <f t="shared" si="31"/>
        <v>5</v>
      </c>
      <c r="AZ95" s="217">
        <f t="shared" si="32"/>
        <v>5</v>
      </c>
      <c r="BA95" s="217">
        <f t="shared" si="33"/>
        <v>5</v>
      </c>
      <c r="BB95" s="217">
        <f t="shared" si="34"/>
        <v>5</v>
      </c>
      <c r="BC95" s="217">
        <f t="shared" si="35"/>
        <v>75</v>
      </c>
      <c r="BD95" s="217"/>
      <c r="BE95" s="217">
        <f t="shared" si="36"/>
        <v>5</v>
      </c>
      <c r="BF95" s="217">
        <f t="shared" si="37"/>
        <v>5</v>
      </c>
      <c r="BG95" s="217">
        <f t="shared" si="38"/>
        <v>5</v>
      </c>
      <c r="BH95" s="217">
        <f t="shared" si="39"/>
        <v>5</v>
      </c>
      <c r="BI95" s="217">
        <f t="shared" si="40"/>
        <v>5</v>
      </c>
      <c r="BJ95" s="217">
        <f t="shared" si="41"/>
        <v>5</v>
      </c>
      <c r="BK95" s="217">
        <f t="shared" si="42"/>
        <v>75</v>
      </c>
    </row>
    <row r="96" spans="2:63" s="372" customFormat="1" ht="30" customHeight="1" x14ac:dyDescent="0.35">
      <c r="B96" s="373" t="s">
        <v>599</v>
      </c>
      <c r="C96" s="374" t="s">
        <v>600</v>
      </c>
      <c r="D96" s="375" t="s">
        <v>594</v>
      </c>
      <c r="E96" s="375" t="s">
        <v>594</v>
      </c>
      <c r="F96" s="383">
        <f>7+29/60+22/3600</f>
        <v>7.4894444444444446</v>
      </c>
      <c r="G96" s="383">
        <f>134+37/60+22/3600</f>
        <v>134.6227777777778</v>
      </c>
      <c r="H96" s="383">
        <f>7+29/60+25/3600</f>
        <v>7.490277777777778</v>
      </c>
      <c r="I96" s="383">
        <f>134+37/60+11/3600</f>
        <v>134.61972222222224</v>
      </c>
      <c r="J96" s="375" t="s">
        <v>99</v>
      </c>
      <c r="K96" s="377">
        <v>2017</v>
      </c>
      <c r="L96" s="377" t="s">
        <v>311</v>
      </c>
      <c r="M96" s="378">
        <v>365</v>
      </c>
      <c r="N96" s="379">
        <v>7.3</v>
      </c>
      <c r="O96" s="375">
        <v>2</v>
      </c>
      <c r="P96" s="375" t="s">
        <v>272</v>
      </c>
      <c r="Q96" s="375" t="s">
        <v>578</v>
      </c>
      <c r="R96" s="375" t="s">
        <v>521</v>
      </c>
      <c r="S96" s="380" t="s">
        <v>580</v>
      </c>
      <c r="T96" s="154">
        <v>5</v>
      </c>
      <c r="U96" s="154">
        <v>5</v>
      </c>
      <c r="V96" s="154">
        <v>5</v>
      </c>
      <c r="W96" s="154">
        <v>5</v>
      </c>
      <c r="X96" s="154">
        <v>5</v>
      </c>
      <c r="Y96" s="154">
        <v>5</v>
      </c>
      <c r="Z96" s="154">
        <f t="shared" si="43"/>
        <v>100</v>
      </c>
      <c r="AA96" s="405">
        <f t="shared" si="26"/>
        <v>182500</v>
      </c>
      <c r="AB96" s="405">
        <f t="shared" si="27"/>
        <v>109500</v>
      </c>
      <c r="AC96" s="407">
        <f t="shared" si="28"/>
        <v>1600</v>
      </c>
      <c r="AD96" s="343"/>
      <c r="AE96" s="343"/>
      <c r="AF96" s="343"/>
      <c r="AG96" s="343"/>
      <c r="AH96" s="381"/>
      <c r="AI96" s="381"/>
      <c r="AJ96" s="381"/>
      <c r="AK96" s="381"/>
      <c r="AW96" s="217">
        <f t="shared" si="29"/>
        <v>5</v>
      </c>
      <c r="AX96" s="217">
        <f t="shared" si="30"/>
        <v>5</v>
      </c>
      <c r="AY96" s="217">
        <f t="shared" si="31"/>
        <v>5</v>
      </c>
      <c r="AZ96" s="217">
        <f t="shared" si="32"/>
        <v>5</v>
      </c>
      <c r="BA96" s="217">
        <f t="shared" si="33"/>
        <v>5</v>
      </c>
      <c r="BB96" s="217">
        <f t="shared" si="34"/>
        <v>5</v>
      </c>
      <c r="BC96" s="217">
        <f t="shared" si="35"/>
        <v>75</v>
      </c>
      <c r="BD96" s="217"/>
      <c r="BE96" s="217">
        <f t="shared" si="36"/>
        <v>5</v>
      </c>
      <c r="BF96" s="217">
        <f t="shared" si="37"/>
        <v>5</v>
      </c>
      <c r="BG96" s="217">
        <f t="shared" si="38"/>
        <v>5</v>
      </c>
      <c r="BH96" s="217">
        <f t="shared" si="39"/>
        <v>5</v>
      </c>
      <c r="BI96" s="217">
        <f t="shared" si="40"/>
        <v>5</v>
      </c>
      <c r="BJ96" s="217">
        <f t="shared" si="41"/>
        <v>5</v>
      </c>
      <c r="BK96" s="217">
        <f t="shared" si="42"/>
        <v>75</v>
      </c>
    </row>
    <row r="97" spans="2:63" s="372" customFormat="1" ht="30" customHeight="1" x14ac:dyDescent="0.35">
      <c r="B97" s="373" t="s">
        <v>601</v>
      </c>
      <c r="C97" s="374" t="s">
        <v>605</v>
      </c>
      <c r="D97" s="375" t="s">
        <v>577</v>
      </c>
      <c r="E97" s="375" t="s">
        <v>594</v>
      </c>
      <c r="F97" s="383">
        <f>7+29/60+58/3600</f>
        <v>7.4994444444444444</v>
      </c>
      <c r="G97" s="383">
        <f>134+37/60+38/3600</f>
        <v>134.62722222222223</v>
      </c>
      <c r="H97" s="383">
        <f>7+29/60+27/3600</f>
        <v>7.4908333333333337</v>
      </c>
      <c r="I97" s="383">
        <f>134+37/60+17/3600</f>
        <v>134.6213888888889</v>
      </c>
      <c r="J97" s="375" t="s">
        <v>277</v>
      </c>
      <c r="K97" s="377">
        <v>2001</v>
      </c>
      <c r="L97" s="377" t="s">
        <v>311</v>
      </c>
      <c r="M97" s="378">
        <v>1990</v>
      </c>
      <c r="N97" s="379">
        <v>6.1</v>
      </c>
      <c r="O97" s="375">
        <v>2</v>
      </c>
      <c r="P97" s="375" t="s">
        <v>272</v>
      </c>
      <c r="Q97" s="375" t="s">
        <v>503</v>
      </c>
      <c r="R97" s="375" t="s">
        <v>92</v>
      </c>
      <c r="S97" s="380" t="s">
        <v>92</v>
      </c>
      <c r="T97" s="154">
        <v>2</v>
      </c>
      <c r="U97" s="154">
        <v>2</v>
      </c>
      <c r="V97" s="154">
        <v>1</v>
      </c>
      <c r="W97" s="154">
        <v>1</v>
      </c>
      <c r="X97" s="154" t="s">
        <v>311</v>
      </c>
      <c r="Y97" s="154">
        <v>2</v>
      </c>
      <c r="Z97" s="154">
        <f t="shared" si="43"/>
        <v>38</v>
      </c>
      <c r="AA97" s="405">
        <f t="shared" si="26"/>
        <v>995000</v>
      </c>
      <c r="AB97" s="405">
        <f t="shared" si="27"/>
        <v>597000</v>
      </c>
      <c r="AC97" s="407">
        <f t="shared" si="28"/>
        <v>9000</v>
      </c>
      <c r="AD97" s="343"/>
      <c r="AE97" s="343"/>
      <c r="AF97" s="343"/>
      <c r="AG97" s="343"/>
      <c r="AH97" s="381">
        <f t="shared" si="46"/>
        <v>398000</v>
      </c>
      <c r="AI97" s="381">
        <f t="shared" si="44"/>
        <v>597000</v>
      </c>
      <c r="AJ97" s="381">
        <f t="shared" si="45"/>
        <v>199000</v>
      </c>
      <c r="AK97" s="381"/>
      <c r="AW97" s="217">
        <f t="shared" si="29"/>
        <v>2</v>
      </c>
      <c r="AX97" s="217">
        <f t="shared" si="30"/>
        <v>2</v>
      </c>
      <c r="AY97" s="217">
        <f t="shared" si="31"/>
        <v>1</v>
      </c>
      <c r="AZ97" s="217">
        <f t="shared" si="32"/>
        <v>1</v>
      </c>
      <c r="BA97" s="217">
        <f t="shared" si="33"/>
        <v>0</v>
      </c>
      <c r="BB97" s="217">
        <f t="shared" si="34"/>
        <v>2</v>
      </c>
      <c r="BC97" s="217">
        <f t="shared" si="35"/>
        <v>26</v>
      </c>
      <c r="BD97" s="217"/>
      <c r="BE97" s="217">
        <f t="shared" si="36"/>
        <v>5</v>
      </c>
      <c r="BF97" s="217">
        <f t="shared" si="37"/>
        <v>5</v>
      </c>
      <c r="BG97" s="217">
        <f t="shared" si="38"/>
        <v>5</v>
      </c>
      <c r="BH97" s="217">
        <f t="shared" si="39"/>
        <v>5</v>
      </c>
      <c r="BI97" s="217">
        <f t="shared" si="40"/>
        <v>0</v>
      </c>
      <c r="BJ97" s="217">
        <f t="shared" si="41"/>
        <v>5</v>
      </c>
      <c r="BK97" s="217">
        <f t="shared" si="42"/>
        <v>70</v>
      </c>
    </row>
    <row r="98" spans="2:63" s="372" customFormat="1" ht="30" customHeight="1" x14ac:dyDescent="0.35">
      <c r="B98" s="373" t="s">
        <v>603</v>
      </c>
      <c r="C98" s="374" t="s">
        <v>604</v>
      </c>
      <c r="D98" s="375" t="s">
        <v>594</v>
      </c>
      <c r="E98" s="375" t="s">
        <v>602</v>
      </c>
      <c r="F98" s="383">
        <f>7+29/60+25/3600</f>
        <v>7.490277777777778</v>
      </c>
      <c r="G98" s="383">
        <f>134+37/60+11/3600</f>
        <v>134.61972222222224</v>
      </c>
      <c r="H98" s="383">
        <f>7+29/60+22/3600</f>
        <v>7.4894444444444446</v>
      </c>
      <c r="I98" s="383">
        <f>134+37/60+22/3600</f>
        <v>134.6227777777778</v>
      </c>
      <c r="J98" s="375" t="s">
        <v>99</v>
      </c>
      <c r="K98" s="377">
        <v>2001</v>
      </c>
      <c r="L98" s="377" t="s">
        <v>311</v>
      </c>
      <c r="M98" s="378">
        <v>2355</v>
      </c>
      <c r="N98" s="379">
        <v>6.1</v>
      </c>
      <c r="O98" s="375">
        <v>2</v>
      </c>
      <c r="P98" s="375" t="s">
        <v>272</v>
      </c>
      <c r="Q98" s="375" t="s">
        <v>503</v>
      </c>
      <c r="R98" s="375" t="s">
        <v>92</v>
      </c>
      <c r="S98" s="380" t="s">
        <v>92</v>
      </c>
      <c r="T98" s="154">
        <v>2</v>
      </c>
      <c r="U98" s="154">
        <v>2</v>
      </c>
      <c r="V98" s="154">
        <v>1</v>
      </c>
      <c r="W98" s="154">
        <v>1</v>
      </c>
      <c r="X98" s="154" t="s">
        <v>311</v>
      </c>
      <c r="Y98" s="154">
        <v>2</v>
      </c>
      <c r="Z98" s="154">
        <f t="shared" si="43"/>
        <v>38</v>
      </c>
      <c r="AA98" s="405">
        <f t="shared" si="26"/>
        <v>1177500</v>
      </c>
      <c r="AB98" s="405">
        <f t="shared" si="27"/>
        <v>706500</v>
      </c>
      <c r="AC98" s="407">
        <f t="shared" si="28"/>
        <v>10600</v>
      </c>
      <c r="AD98" s="343"/>
      <c r="AE98" s="343"/>
      <c r="AF98" s="343"/>
      <c r="AG98" s="343"/>
      <c r="AH98" s="381">
        <f t="shared" si="46"/>
        <v>471000</v>
      </c>
      <c r="AI98" s="381">
        <f t="shared" si="44"/>
        <v>706500</v>
      </c>
      <c r="AJ98" s="381">
        <f t="shared" si="45"/>
        <v>235500</v>
      </c>
      <c r="AK98" s="381"/>
      <c r="AW98" s="217">
        <f t="shared" si="29"/>
        <v>2</v>
      </c>
      <c r="AX98" s="217">
        <f t="shared" si="30"/>
        <v>2</v>
      </c>
      <c r="AY98" s="217">
        <f t="shared" si="31"/>
        <v>1</v>
      </c>
      <c r="AZ98" s="217">
        <f t="shared" si="32"/>
        <v>1</v>
      </c>
      <c r="BA98" s="217">
        <f t="shared" si="33"/>
        <v>0</v>
      </c>
      <c r="BB98" s="217">
        <f t="shared" si="34"/>
        <v>2</v>
      </c>
      <c r="BC98" s="217">
        <f t="shared" si="35"/>
        <v>26</v>
      </c>
      <c r="BD98" s="217"/>
      <c r="BE98" s="217">
        <f t="shared" si="36"/>
        <v>5</v>
      </c>
      <c r="BF98" s="217">
        <f t="shared" si="37"/>
        <v>5</v>
      </c>
      <c r="BG98" s="217">
        <f t="shared" si="38"/>
        <v>5</v>
      </c>
      <c r="BH98" s="217">
        <f t="shared" si="39"/>
        <v>5</v>
      </c>
      <c r="BI98" s="217">
        <f t="shared" si="40"/>
        <v>0</v>
      </c>
      <c r="BJ98" s="217">
        <f t="shared" si="41"/>
        <v>5</v>
      </c>
      <c r="BK98" s="217">
        <f t="shared" si="42"/>
        <v>70</v>
      </c>
    </row>
    <row r="99" spans="2:63" s="372" customFormat="1" ht="30" customHeight="1" x14ac:dyDescent="0.35">
      <c r="B99" s="373"/>
      <c r="C99" s="374"/>
      <c r="D99" s="375"/>
      <c r="E99" s="375"/>
      <c r="F99" s="383"/>
      <c r="G99" s="383"/>
      <c r="H99" s="383"/>
      <c r="I99" s="383"/>
      <c r="J99" s="375"/>
      <c r="K99" s="386"/>
      <c r="L99" s="377"/>
      <c r="M99" s="378"/>
      <c r="N99" s="379"/>
      <c r="O99" s="375"/>
      <c r="P99" s="375"/>
      <c r="Q99" s="375"/>
      <c r="R99" s="375"/>
      <c r="S99" s="380"/>
      <c r="T99" s="154"/>
      <c r="U99" s="154"/>
      <c r="V99" s="154"/>
      <c r="W99" s="154"/>
      <c r="X99" s="154"/>
      <c r="Y99" s="154"/>
      <c r="Z99" s="154"/>
      <c r="AA99" s="405">
        <f t="shared" si="26"/>
        <v>0</v>
      </c>
      <c r="AB99" s="405">
        <f t="shared" si="27"/>
        <v>0</v>
      </c>
      <c r="AC99" s="407">
        <f t="shared" si="28"/>
        <v>0</v>
      </c>
      <c r="AD99" s="343"/>
      <c r="AE99" s="343"/>
      <c r="AF99" s="343"/>
      <c r="AG99" s="343"/>
      <c r="AH99" s="381"/>
      <c r="AI99" s="381"/>
      <c r="AJ99" s="381"/>
      <c r="AK99" s="381"/>
      <c r="AW99" s="217">
        <f t="shared" si="29"/>
        <v>0</v>
      </c>
      <c r="AX99" s="217">
        <f t="shared" si="30"/>
        <v>0</v>
      </c>
      <c r="AY99" s="217">
        <f t="shared" si="31"/>
        <v>0</v>
      </c>
      <c r="AZ99" s="217">
        <f t="shared" si="32"/>
        <v>0</v>
      </c>
      <c r="BA99" s="217">
        <f t="shared" si="33"/>
        <v>0</v>
      </c>
      <c r="BB99" s="217">
        <f t="shared" si="34"/>
        <v>0</v>
      </c>
      <c r="BC99" s="217">
        <f t="shared" si="35"/>
        <v>0</v>
      </c>
      <c r="BD99" s="217"/>
      <c r="BE99" s="217">
        <f t="shared" si="36"/>
        <v>0</v>
      </c>
      <c r="BF99" s="217">
        <f t="shared" si="37"/>
        <v>0</v>
      </c>
      <c r="BG99" s="217">
        <f t="shared" si="38"/>
        <v>0</v>
      </c>
      <c r="BH99" s="217">
        <f t="shared" si="39"/>
        <v>0</v>
      </c>
      <c r="BI99" s="217">
        <f t="shared" si="40"/>
        <v>0</v>
      </c>
      <c r="BJ99" s="217">
        <f t="shared" si="41"/>
        <v>0</v>
      </c>
      <c r="BK99" s="217">
        <f t="shared" si="42"/>
        <v>0</v>
      </c>
    </row>
    <row r="100" spans="2:63" s="372" customFormat="1" ht="30" customHeight="1" x14ac:dyDescent="0.35">
      <c r="B100" s="373" t="s">
        <v>401</v>
      </c>
      <c r="C100" s="374" t="s">
        <v>269</v>
      </c>
      <c r="D100" s="375" t="s">
        <v>273</v>
      </c>
      <c r="E100" s="375" t="s">
        <v>273</v>
      </c>
      <c r="F100" s="375">
        <f>7+31.432059/60</f>
        <v>7.5238676499999997</v>
      </c>
      <c r="G100" s="375">
        <f>134+30.023935/60</f>
        <v>134.50039891666665</v>
      </c>
      <c r="H100" s="375">
        <f>7+31.402523/60</f>
        <v>7.5233753833333337</v>
      </c>
      <c r="I100" s="375">
        <f>134+30.447404/60</f>
        <v>134.50745673333333</v>
      </c>
      <c r="J100" s="375" t="s">
        <v>99</v>
      </c>
      <c r="K100" s="377">
        <v>1986</v>
      </c>
      <c r="L100" s="375">
        <v>2011</v>
      </c>
      <c r="M100" s="378">
        <v>935</v>
      </c>
      <c r="N100" s="379">
        <v>7.3</v>
      </c>
      <c r="O100" s="375">
        <v>2</v>
      </c>
      <c r="P100" s="375" t="s">
        <v>272</v>
      </c>
      <c r="Q100" s="375" t="s">
        <v>275</v>
      </c>
      <c r="R100" s="375" t="s">
        <v>270</v>
      </c>
      <c r="S100" s="380" t="s">
        <v>271</v>
      </c>
      <c r="T100" s="154">
        <v>5</v>
      </c>
      <c r="U100" s="154">
        <v>5</v>
      </c>
      <c r="V100" s="154">
        <v>4</v>
      </c>
      <c r="W100" s="154">
        <v>3</v>
      </c>
      <c r="X100" s="154">
        <v>5</v>
      </c>
      <c r="Y100" s="154">
        <v>5</v>
      </c>
      <c r="Z100" s="154">
        <f t="shared" si="43"/>
        <v>96</v>
      </c>
      <c r="AA100" s="405">
        <f t="shared" si="26"/>
        <v>467500</v>
      </c>
      <c r="AB100" s="405">
        <f t="shared" si="27"/>
        <v>280500</v>
      </c>
      <c r="AC100" s="407">
        <f t="shared" si="28"/>
        <v>4200</v>
      </c>
      <c r="AD100" s="343"/>
      <c r="AE100" s="343"/>
      <c r="AF100" s="343"/>
      <c r="AG100" s="343"/>
      <c r="AH100" s="381"/>
      <c r="AI100" s="381"/>
      <c r="AJ100" s="381"/>
      <c r="AK100" s="381"/>
      <c r="AW100" s="217">
        <f t="shared" si="29"/>
        <v>5</v>
      </c>
      <c r="AX100" s="217">
        <f t="shared" si="30"/>
        <v>5</v>
      </c>
      <c r="AY100" s="217">
        <f t="shared" si="31"/>
        <v>4</v>
      </c>
      <c r="AZ100" s="217">
        <f t="shared" si="32"/>
        <v>3</v>
      </c>
      <c r="BA100" s="217">
        <f t="shared" si="33"/>
        <v>5</v>
      </c>
      <c r="BB100" s="217">
        <f t="shared" si="34"/>
        <v>5</v>
      </c>
      <c r="BC100" s="217">
        <f t="shared" si="35"/>
        <v>72</v>
      </c>
      <c r="BD100" s="217"/>
      <c r="BE100" s="217">
        <f t="shared" si="36"/>
        <v>5</v>
      </c>
      <c r="BF100" s="217">
        <f t="shared" si="37"/>
        <v>5</v>
      </c>
      <c r="BG100" s="217">
        <f t="shared" si="38"/>
        <v>5</v>
      </c>
      <c r="BH100" s="217">
        <f t="shared" si="39"/>
        <v>5</v>
      </c>
      <c r="BI100" s="217">
        <f t="shared" si="40"/>
        <v>5</v>
      </c>
      <c r="BJ100" s="217">
        <f t="shared" si="41"/>
        <v>5</v>
      </c>
      <c r="BK100" s="217">
        <f t="shared" si="42"/>
        <v>75</v>
      </c>
    </row>
    <row r="101" spans="2:63" s="372" customFormat="1" ht="30" customHeight="1" x14ac:dyDescent="0.35">
      <c r="B101" s="373" t="s">
        <v>402</v>
      </c>
      <c r="C101" s="374" t="s">
        <v>285</v>
      </c>
      <c r="D101" s="375" t="s">
        <v>273</v>
      </c>
      <c r="E101" s="375" t="s">
        <v>273</v>
      </c>
      <c r="F101" s="375">
        <f>7+31.398708/60</f>
        <v>7.5233118000000001</v>
      </c>
      <c r="G101" s="375">
        <f>134+30.08605/60</f>
        <v>134.50143416666666</v>
      </c>
      <c r="H101" s="375">
        <f>7+31.329326/60</f>
        <v>7.5221554333333334</v>
      </c>
      <c r="I101" s="375">
        <f>134+30.250609/60</f>
        <v>134.50417681666667</v>
      </c>
      <c r="J101" s="375" t="s">
        <v>97</v>
      </c>
      <c r="K101" s="386"/>
      <c r="L101" s="375" t="s">
        <v>278</v>
      </c>
      <c r="M101" s="385">
        <v>360</v>
      </c>
      <c r="N101" s="379">
        <v>5.5</v>
      </c>
      <c r="O101" s="375">
        <v>1</v>
      </c>
      <c r="P101" s="375" t="s">
        <v>83</v>
      </c>
      <c r="Q101" s="375" t="s">
        <v>275</v>
      </c>
      <c r="R101" s="375" t="s">
        <v>92</v>
      </c>
      <c r="S101" s="380" t="s">
        <v>92</v>
      </c>
      <c r="T101" s="154">
        <v>4</v>
      </c>
      <c r="U101" s="154">
        <v>3</v>
      </c>
      <c r="V101" s="154">
        <v>2</v>
      </c>
      <c r="W101" s="154">
        <v>2</v>
      </c>
      <c r="X101" s="154" t="s">
        <v>311</v>
      </c>
      <c r="Y101" s="154">
        <v>3</v>
      </c>
      <c r="Z101" s="154">
        <f t="shared" si="43"/>
        <v>63</v>
      </c>
      <c r="AA101" s="405">
        <f t="shared" si="26"/>
        <v>180000</v>
      </c>
      <c r="AB101" s="405">
        <f t="shared" si="27"/>
        <v>108000</v>
      </c>
      <c r="AC101" s="407">
        <f t="shared" si="28"/>
        <v>1600</v>
      </c>
      <c r="AD101" s="343"/>
      <c r="AE101" s="343"/>
      <c r="AF101" s="343"/>
      <c r="AG101" s="343"/>
      <c r="AH101" s="381"/>
      <c r="AI101" s="381"/>
      <c r="AJ101" s="381">
        <f t="shared" si="45"/>
        <v>36000</v>
      </c>
      <c r="AK101" s="381"/>
      <c r="AW101" s="217">
        <f t="shared" si="29"/>
        <v>4</v>
      </c>
      <c r="AX101" s="217">
        <f t="shared" si="30"/>
        <v>3</v>
      </c>
      <c r="AY101" s="217">
        <f t="shared" si="31"/>
        <v>2</v>
      </c>
      <c r="AZ101" s="217">
        <f t="shared" si="32"/>
        <v>2</v>
      </c>
      <c r="BA101" s="217">
        <f t="shared" si="33"/>
        <v>0</v>
      </c>
      <c r="BB101" s="217">
        <f t="shared" si="34"/>
        <v>3</v>
      </c>
      <c r="BC101" s="217">
        <f t="shared" si="35"/>
        <v>44</v>
      </c>
      <c r="BD101" s="217"/>
      <c r="BE101" s="217">
        <f t="shared" si="36"/>
        <v>5</v>
      </c>
      <c r="BF101" s="217">
        <f t="shared" si="37"/>
        <v>5</v>
      </c>
      <c r="BG101" s="217">
        <f t="shared" si="38"/>
        <v>5</v>
      </c>
      <c r="BH101" s="217">
        <f t="shared" si="39"/>
        <v>5</v>
      </c>
      <c r="BI101" s="217">
        <f t="shared" si="40"/>
        <v>0</v>
      </c>
      <c r="BJ101" s="217">
        <f t="shared" si="41"/>
        <v>5</v>
      </c>
      <c r="BK101" s="217">
        <f t="shared" si="42"/>
        <v>70</v>
      </c>
    </row>
    <row r="102" spans="2:63" s="372" customFormat="1" ht="30" customHeight="1" x14ac:dyDescent="0.35">
      <c r="B102" s="373" t="s">
        <v>403</v>
      </c>
      <c r="C102" s="374" t="s">
        <v>286</v>
      </c>
      <c r="D102" s="375" t="s">
        <v>273</v>
      </c>
      <c r="E102" s="375" t="s">
        <v>273</v>
      </c>
      <c r="F102" s="375"/>
      <c r="G102" s="375"/>
      <c r="H102" s="375"/>
      <c r="I102" s="375"/>
      <c r="J102" s="375" t="s">
        <v>277</v>
      </c>
      <c r="K102" s="377">
        <v>1986</v>
      </c>
      <c r="L102" s="375" t="s">
        <v>278</v>
      </c>
      <c r="M102" s="385">
        <v>695</v>
      </c>
      <c r="N102" s="387">
        <v>5.5</v>
      </c>
      <c r="O102" s="375">
        <v>2</v>
      </c>
      <c r="P102" s="375" t="s">
        <v>272</v>
      </c>
      <c r="Q102" s="375" t="s">
        <v>283</v>
      </c>
      <c r="R102" s="375" t="s">
        <v>92</v>
      </c>
      <c r="S102" s="380" t="s">
        <v>92</v>
      </c>
      <c r="T102" s="154"/>
      <c r="U102" s="154"/>
      <c r="V102" s="154"/>
      <c r="W102" s="154"/>
      <c r="X102" s="154" t="s">
        <v>311</v>
      </c>
      <c r="Y102" s="154"/>
      <c r="Z102" s="154"/>
      <c r="AA102" s="405">
        <f t="shared" si="26"/>
        <v>347500</v>
      </c>
      <c r="AB102" s="405">
        <f t="shared" si="27"/>
        <v>208500</v>
      </c>
      <c r="AC102" s="407">
        <f t="shared" si="28"/>
        <v>3100</v>
      </c>
      <c r="AD102" s="343"/>
      <c r="AE102" s="343"/>
      <c r="AF102" s="343"/>
      <c r="AG102" s="343"/>
      <c r="AH102" s="381"/>
      <c r="AI102" s="381"/>
      <c r="AJ102" s="381"/>
      <c r="AK102" s="381"/>
      <c r="AW102" s="217">
        <f t="shared" si="29"/>
        <v>0</v>
      </c>
      <c r="AX102" s="217">
        <f t="shared" si="30"/>
        <v>0</v>
      </c>
      <c r="AY102" s="217">
        <f t="shared" si="31"/>
        <v>0</v>
      </c>
      <c r="AZ102" s="217">
        <f t="shared" si="32"/>
        <v>0</v>
      </c>
      <c r="BA102" s="217">
        <f t="shared" si="33"/>
        <v>0</v>
      </c>
      <c r="BB102" s="217">
        <f t="shared" si="34"/>
        <v>0</v>
      </c>
      <c r="BC102" s="217">
        <f t="shared" si="35"/>
        <v>0</v>
      </c>
      <c r="BD102" s="217"/>
      <c r="BE102" s="217">
        <f t="shared" si="36"/>
        <v>0</v>
      </c>
      <c r="BF102" s="217">
        <f t="shared" si="37"/>
        <v>0</v>
      </c>
      <c r="BG102" s="217">
        <f t="shared" si="38"/>
        <v>0</v>
      </c>
      <c r="BH102" s="217">
        <f t="shared" si="39"/>
        <v>0</v>
      </c>
      <c r="BI102" s="217">
        <f t="shared" si="40"/>
        <v>0</v>
      </c>
      <c r="BJ102" s="217">
        <f t="shared" si="41"/>
        <v>0</v>
      </c>
      <c r="BK102" s="217">
        <f t="shared" si="42"/>
        <v>0</v>
      </c>
    </row>
    <row r="103" spans="2:63" s="372" customFormat="1" ht="30" customHeight="1" x14ac:dyDescent="0.35">
      <c r="B103" s="373" t="s">
        <v>404</v>
      </c>
      <c r="C103" s="374" t="s">
        <v>274</v>
      </c>
      <c r="D103" s="375" t="s">
        <v>273</v>
      </c>
      <c r="E103" s="375" t="s">
        <v>273</v>
      </c>
      <c r="F103" s="375">
        <f>7+31.402523/60</f>
        <v>7.5233753833333337</v>
      </c>
      <c r="G103" s="375">
        <f>134+30.447404/60</f>
        <v>134.50745673333333</v>
      </c>
      <c r="H103" s="375">
        <f>7+31.317221/60</f>
        <v>7.5219536833333329</v>
      </c>
      <c r="I103" s="375">
        <f>134+30.706662/60</f>
        <v>134.51177770000001</v>
      </c>
      <c r="J103" s="375" t="s">
        <v>99</v>
      </c>
      <c r="K103" s="377">
        <v>1986</v>
      </c>
      <c r="L103" s="375">
        <v>2012</v>
      </c>
      <c r="M103" s="378">
        <v>695</v>
      </c>
      <c r="N103" s="379">
        <v>7.3</v>
      </c>
      <c r="O103" s="375">
        <v>2</v>
      </c>
      <c r="P103" s="375" t="s">
        <v>272</v>
      </c>
      <c r="Q103" s="375" t="s">
        <v>275</v>
      </c>
      <c r="R103" s="375" t="s">
        <v>270</v>
      </c>
      <c r="S103" s="380" t="s">
        <v>271</v>
      </c>
      <c r="T103" s="154">
        <v>5</v>
      </c>
      <c r="U103" s="154">
        <v>5</v>
      </c>
      <c r="V103" s="154">
        <v>4</v>
      </c>
      <c r="W103" s="154">
        <v>4</v>
      </c>
      <c r="X103" s="154">
        <v>5</v>
      </c>
      <c r="Y103" s="154">
        <v>5</v>
      </c>
      <c r="Z103" s="154">
        <f t="shared" si="43"/>
        <v>98</v>
      </c>
      <c r="AA103" s="405">
        <f t="shared" si="26"/>
        <v>347500</v>
      </c>
      <c r="AB103" s="405">
        <f t="shared" si="27"/>
        <v>208500</v>
      </c>
      <c r="AC103" s="407">
        <f t="shared" si="28"/>
        <v>3100</v>
      </c>
      <c r="AD103" s="343"/>
      <c r="AE103" s="343"/>
      <c r="AF103" s="343"/>
      <c r="AG103" s="343"/>
      <c r="AH103" s="381"/>
      <c r="AI103" s="381"/>
      <c r="AJ103" s="381"/>
      <c r="AK103" s="381"/>
      <c r="AW103" s="217">
        <f t="shared" si="29"/>
        <v>5</v>
      </c>
      <c r="AX103" s="217">
        <f t="shared" si="30"/>
        <v>5</v>
      </c>
      <c r="AY103" s="217">
        <f t="shared" si="31"/>
        <v>4</v>
      </c>
      <c r="AZ103" s="217">
        <f t="shared" si="32"/>
        <v>4</v>
      </c>
      <c r="BA103" s="217">
        <f t="shared" si="33"/>
        <v>5</v>
      </c>
      <c r="BB103" s="217">
        <f t="shared" si="34"/>
        <v>5</v>
      </c>
      <c r="BC103" s="217">
        <f t="shared" si="35"/>
        <v>73</v>
      </c>
      <c r="BD103" s="217"/>
      <c r="BE103" s="217">
        <f t="shared" si="36"/>
        <v>5</v>
      </c>
      <c r="BF103" s="217">
        <f t="shared" si="37"/>
        <v>5</v>
      </c>
      <c r="BG103" s="217">
        <f t="shared" si="38"/>
        <v>5</v>
      </c>
      <c r="BH103" s="217">
        <f t="shared" si="39"/>
        <v>5</v>
      </c>
      <c r="BI103" s="217">
        <f t="shared" si="40"/>
        <v>5</v>
      </c>
      <c r="BJ103" s="217">
        <f t="shared" si="41"/>
        <v>5</v>
      </c>
      <c r="BK103" s="217">
        <f t="shared" si="42"/>
        <v>75</v>
      </c>
    </row>
    <row r="104" spans="2:63" s="372" customFormat="1" ht="30" customHeight="1" x14ac:dyDescent="0.35">
      <c r="B104" s="373" t="s">
        <v>405</v>
      </c>
      <c r="C104" s="374" t="s">
        <v>282</v>
      </c>
      <c r="D104" s="375" t="s">
        <v>273</v>
      </c>
      <c r="E104" s="375" t="s">
        <v>273</v>
      </c>
      <c r="F104" s="375">
        <f>7+31.487772/60</f>
        <v>7.5247961999999999</v>
      </c>
      <c r="G104" s="375">
        <f>134+31.166059/60</f>
        <v>134.51943431666666</v>
      </c>
      <c r="H104" s="375">
        <f>7+31.317221/60</f>
        <v>7.5219536833333329</v>
      </c>
      <c r="I104" s="375">
        <f>134+30.7066102/60</f>
        <v>134.51177683666666</v>
      </c>
      <c r="J104" s="375" t="s">
        <v>99</v>
      </c>
      <c r="K104" s="377">
        <v>1986</v>
      </c>
      <c r="L104" s="375">
        <v>2017</v>
      </c>
      <c r="M104" s="378">
        <v>1345</v>
      </c>
      <c r="N104" s="379">
        <v>7.3</v>
      </c>
      <c r="O104" s="375">
        <v>2</v>
      </c>
      <c r="P104" s="375" t="s">
        <v>272</v>
      </c>
      <c r="Q104" s="375" t="s">
        <v>275</v>
      </c>
      <c r="R104" s="375" t="s">
        <v>270</v>
      </c>
      <c r="S104" s="380" t="s">
        <v>271</v>
      </c>
      <c r="T104" s="154">
        <v>5</v>
      </c>
      <c r="U104" s="154">
        <v>5</v>
      </c>
      <c r="V104" s="154">
        <v>4</v>
      </c>
      <c r="W104" s="154">
        <v>5</v>
      </c>
      <c r="X104" s="154">
        <v>5</v>
      </c>
      <c r="Y104" s="154">
        <v>5</v>
      </c>
      <c r="Z104" s="154">
        <f t="shared" si="43"/>
        <v>99</v>
      </c>
      <c r="AA104" s="405">
        <f t="shared" si="26"/>
        <v>672500</v>
      </c>
      <c r="AB104" s="405">
        <f t="shared" si="27"/>
        <v>403500</v>
      </c>
      <c r="AC104" s="407">
        <f t="shared" si="28"/>
        <v>6100</v>
      </c>
      <c r="AD104" s="343"/>
      <c r="AE104" s="343"/>
      <c r="AF104" s="343"/>
      <c r="AG104" s="343"/>
      <c r="AH104" s="381"/>
      <c r="AI104" s="381"/>
      <c r="AJ104" s="381"/>
      <c r="AK104" s="381"/>
      <c r="AW104" s="217">
        <f t="shared" si="29"/>
        <v>5</v>
      </c>
      <c r="AX104" s="217">
        <f t="shared" si="30"/>
        <v>5</v>
      </c>
      <c r="AY104" s="217">
        <f t="shared" si="31"/>
        <v>4</v>
      </c>
      <c r="AZ104" s="217">
        <f t="shared" si="32"/>
        <v>5</v>
      </c>
      <c r="BA104" s="217">
        <f t="shared" si="33"/>
        <v>5</v>
      </c>
      <c r="BB104" s="217">
        <f t="shared" si="34"/>
        <v>5</v>
      </c>
      <c r="BC104" s="217">
        <f t="shared" si="35"/>
        <v>74</v>
      </c>
      <c r="BD104" s="217"/>
      <c r="BE104" s="217">
        <f t="shared" si="36"/>
        <v>5</v>
      </c>
      <c r="BF104" s="217">
        <f t="shared" si="37"/>
        <v>5</v>
      </c>
      <c r="BG104" s="217">
        <f t="shared" si="38"/>
        <v>5</v>
      </c>
      <c r="BH104" s="217">
        <f t="shared" si="39"/>
        <v>5</v>
      </c>
      <c r="BI104" s="217">
        <f t="shared" si="40"/>
        <v>5</v>
      </c>
      <c r="BJ104" s="217">
        <f t="shared" si="41"/>
        <v>5</v>
      </c>
      <c r="BK104" s="217">
        <f t="shared" si="42"/>
        <v>75</v>
      </c>
    </row>
    <row r="105" spans="2:63" s="372" customFormat="1" ht="30" customHeight="1" x14ac:dyDescent="0.35">
      <c r="B105" s="373" t="s">
        <v>406</v>
      </c>
      <c r="C105" s="374" t="s">
        <v>279</v>
      </c>
      <c r="D105" s="375" t="s">
        <v>273</v>
      </c>
      <c r="E105" s="375" t="s">
        <v>273</v>
      </c>
      <c r="F105" s="375">
        <f>7+31.607679/60</f>
        <v>7.5267946500000003</v>
      </c>
      <c r="G105" s="375">
        <f>134+31.351528/60</f>
        <v>134.52252546666668</v>
      </c>
      <c r="H105" s="375">
        <f>7+31.487772/60</f>
        <v>7.5247961999999999</v>
      </c>
      <c r="I105" s="375">
        <f>134+31.166059/60</f>
        <v>134.51943431666666</v>
      </c>
      <c r="J105" s="375" t="s">
        <v>99</v>
      </c>
      <c r="K105" s="377">
        <v>1986</v>
      </c>
      <c r="L105" s="375">
        <v>2016</v>
      </c>
      <c r="M105" s="378">
        <v>525</v>
      </c>
      <c r="N105" s="379">
        <v>7.3</v>
      </c>
      <c r="O105" s="375">
        <v>2</v>
      </c>
      <c r="P105" s="375" t="s">
        <v>272</v>
      </c>
      <c r="Q105" s="375" t="s">
        <v>275</v>
      </c>
      <c r="R105" s="375" t="s">
        <v>270</v>
      </c>
      <c r="S105" s="380" t="s">
        <v>271</v>
      </c>
      <c r="T105" s="154">
        <v>5</v>
      </c>
      <c r="U105" s="154">
        <v>5</v>
      </c>
      <c r="V105" s="154">
        <v>4</v>
      </c>
      <c r="W105" s="154">
        <v>5</v>
      </c>
      <c r="X105" s="154">
        <v>5</v>
      </c>
      <c r="Y105" s="154">
        <v>5</v>
      </c>
      <c r="Z105" s="154">
        <f t="shared" si="43"/>
        <v>99</v>
      </c>
      <c r="AA105" s="405">
        <f t="shared" si="26"/>
        <v>262500</v>
      </c>
      <c r="AB105" s="405">
        <f t="shared" si="27"/>
        <v>157500</v>
      </c>
      <c r="AC105" s="407">
        <f t="shared" si="28"/>
        <v>2400</v>
      </c>
      <c r="AD105" s="343"/>
      <c r="AE105" s="343"/>
      <c r="AF105" s="343"/>
      <c r="AG105" s="343"/>
      <c r="AH105" s="381"/>
      <c r="AI105" s="381"/>
      <c r="AJ105" s="381"/>
      <c r="AK105" s="381"/>
      <c r="AW105" s="217">
        <f t="shared" si="29"/>
        <v>5</v>
      </c>
      <c r="AX105" s="217">
        <f t="shared" si="30"/>
        <v>5</v>
      </c>
      <c r="AY105" s="217">
        <f t="shared" si="31"/>
        <v>4</v>
      </c>
      <c r="AZ105" s="217">
        <f t="shared" si="32"/>
        <v>5</v>
      </c>
      <c r="BA105" s="217">
        <f t="shared" si="33"/>
        <v>5</v>
      </c>
      <c r="BB105" s="217">
        <f t="shared" si="34"/>
        <v>5</v>
      </c>
      <c r="BC105" s="217">
        <f t="shared" si="35"/>
        <v>74</v>
      </c>
      <c r="BD105" s="217"/>
      <c r="BE105" s="217">
        <f t="shared" si="36"/>
        <v>5</v>
      </c>
      <c r="BF105" s="217">
        <f t="shared" si="37"/>
        <v>5</v>
      </c>
      <c r="BG105" s="217">
        <f t="shared" si="38"/>
        <v>5</v>
      </c>
      <c r="BH105" s="217">
        <f t="shared" si="39"/>
        <v>5</v>
      </c>
      <c r="BI105" s="217">
        <f t="shared" si="40"/>
        <v>5</v>
      </c>
      <c r="BJ105" s="217">
        <f t="shared" si="41"/>
        <v>5</v>
      </c>
      <c r="BK105" s="217">
        <f t="shared" si="42"/>
        <v>75</v>
      </c>
    </row>
    <row r="106" spans="2:63" s="372" customFormat="1" ht="30" customHeight="1" x14ac:dyDescent="0.35">
      <c r="B106" s="373" t="s">
        <v>407</v>
      </c>
      <c r="C106" s="374" t="s">
        <v>280</v>
      </c>
      <c r="D106" s="375" t="s">
        <v>281</v>
      </c>
      <c r="E106" s="375" t="s">
        <v>281</v>
      </c>
      <c r="F106" s="375">
        <f>7+31.804309/60</f>
        <v>7.5300718166666663</v>
      </c>
      <c r="G106" s="375">
        <f>134+31.494723/60</f>
        <v>134.52491205000001</v>
      </c>
      <c r="H106" s="375">
        <f>7+31.607679/60</f>
        <v>7.5267946500000003</v>
      </c>
      <c r="I106" s="375">
        <f>134+31.351528/60</f>
        <v>134.52252546666668</v>
      </c>
      <c r="J106" s="375" t="s">
        <v>99</v>
      </c>
      <c r="K106" s="377">
        <v>1986</v>
      </c>
      <c r="L106" s="375">
        <v>2015</v>
      </c>
      <c r="M106" s="378">
        <v>525</v>
      </c>
      <c r="N106" s="379">
        <v>7.3</v>
      </c>
      <c r="O106" s="375">
        <v>2</v>
      </c>
      <c r="P106" s="375" t="s">
        <v>272</v>
      </c>
      <c r="Q106" s="375" t="s">
        <v>275</v>
      </c>
      <c r="R106" s="375" t="s">
        <v>270</v>
      </c>
      <c r="S106" s="380" t="s">
        <v>271</v>
      </c>
      <c r="T106" s="154">
        <v>5</v>
      </c>
      <c r="U106" s="154">
        <v>5</v>
      </c>
      <c r="V106" s="154">
        <v>4</v>
      </c>
      <c r="W106" s="154">
        <v>5</v>
      </c>
      <c r="X106" s="154">
        <v>5</v>
      </c>
      <c r="Y106" s="154">
        <v>5</v>
      </c>
      <c r="Z106" s="154">
        <f t="shared" si="43"/>
        <v>99</v>
      </c>
      <c r="AA106" s="405">
        <f t="shared" si="26"/>
        <v>262500</v>
      </c>
      <c r="AB106" s="405">
        <f t="shared" si="27"/>
        <v>157500</v>
      </c>
      <c r="AC106" s="407">
        <f t="shared" si="28"/>
        <v>2400</v>
      </c>
      <c r="AD106" s="343"/>
      <c r="AE106" s="343"/>
      <c r="AF106" s="343"/>
      <c r="AG106" s="343"/>
      <c r="AH106" s="381"/>
      <c r="AI106" s="381"/>
      <c r="AJ106" s="381"/>
      <c r="AK106" s="381"/>
      <c r="AW106" s="217">
        <f t="shared" si="29"/>
        <v>5</v>
      </c>
      <c r="AX106" s="217">
        <f t="shared" si="30"/>
        <v>5</v>
      </c>
      <c r="AY106" s="217">
        <f t="shared" si="31"/>
        <v>4</v>
      </c>
      <c r="AZ106" s="217">
        <f t="shared" si="32"/>
        <v>5</v>
      </c>
      <c r="BA106" s="217">
        <f t="shared" si="33"/>
        <v>5</v>
      </c>
      <c r="BB106" s="217">
        <f t="shared" si="34"/>
        <v>5</v>
      </c>
      <c r="BC106" s="217">
        <f t="shared" si="35"/>
        <v>74</v>
      </c>
      <c r="BD106" s="217"/>
      <c r="BE106" s="217">
        <f t="shared" si="36"/>
        <v>5</v>
      </c>
      <c r="BF106" s="217">
        <f t="shared" si="37"/>
        <v>5</v>
      </c>
      <c r="BG106" s="217">
        <f t="shared" si="38"/>
        <v>5</v>
      </c>
      <c r="BH106" s="217">
        <f t="shared" si="39"/>
        <v>5</v>
      </c>
      <c r="BI106" s="217">
        <f t="shared" si="40"/>
        <v>5</v>
      </c>
      <c r="BJ106" s="217">
        <f t="shared" si="41"/>
        <v>5</v>
      </c>
      <c r="BK106" s="217">
        <f t="shared" si="42"/>
        <v>75</v>
      </c>
    </row>
    <row r="107" spans="2:63" s="372" customFormat="1" ht="30" customHeight="1" x14ac:dyDescent="0.35">
      <c r="B107" s="373" t="s">
        <v>408</v>
      </c>
      <c r="C107" s="374" t="s">
        <v>276</v>
      </c>
      <c r="D107" s="375" t="s">
        <v>281</v>
      </c>
      <c r="E107" s="375" t="s">
        <v>281</v>
      </c>
      <c r="F107" s="375">
        <f>7+31.804309/60</f>
        <v>7.5300718166666663</v>
      </c>
      <c r="G107" s="375">
        <f>134+31.494723/60</f>
        <v>134.52491205000001</v>
      </c>
      <c r="H107" s="375">
        <f>7+31.607679/60</f>
        <v>7.5267946500000003</v>
      </c>
      <c r="I107" s="375">
        <f>134+31.351528/60</f>
        <v>134.52252546666668</v>
      </c>
      <c r="J107" s="375" t="s">
        <v>99</v>
      </c>
      <c r="K107" s="377">
        <v>1986</v>
      </c>
      <c r="L107" s="375">
        <v>2014</v>
      </c>
      <c r="M107" s="378">
        <v>490</v>
      </c>
      <c r="N107" s="379">
        <v>5.8</v>
      </c>
      <c r="O107" s="375">
        <v>2</v>
      </c>
      <c r="P107" s="375" t="s">
        <v>83</v>
      </c>
      <c r="Q107" s="375" t="s">
        <v>275</v>
      </c>
      <c r="R107" s="375" t="s">
        <v>270</v>
      </c>
      <c r="S107" s="380" t="s">
        <v>92</v>
      </c>
      <c r="T107" s="154">
        <v>5</v>
      </c>
      <c r="U107" s="154">
        <v>5</v>
      </c>
      <c r="V107" s="154">
        <v>4</v>
      </c>
      <c r="W107" s="154">
        <v>5</v>
      </c>
      <c r="X107" s="154" t="s">
        <v>311</v>
      </c>
      <c r="Y107" s="154">
        <v>5</v>
      </c>
      <c r="Z107" s="154">
        <f t="shared" si="43"/>
        <v>99</v>
      </c>
      <c r="AA107" s="405">
        <f t="shared" si="26"/>
        <v>245000</v>
      </c>
      <c r="AB107" s="405">
        <f t="shared" si="27"/>
        <v>147000</v>
      </c>
      <c r="AC107" s="407">
        <f t="shared" si="28"/>
        <v>2200</v>
      </c>
      <c r="AD107" s="343"/>
      <c r="AE107" s="343"/>
      <c r="AF107" s="343"/>
      <c r="AG107" s="343"/>
      <c r="AH107" s="381"/>
      <c r="AI107" s="381"/>
      <c r="AJ107" s="381"/>
      <c r="AK107" s="381"/>
      <c r="AW107" s="217">
        <f t="shared" si="29"/>
        <v>5</v>
      </c>
      <c r="AX107" s="217">
        <f t="shared" si="30"/>
        <v>5</v>
      </c>
      <c r="AY107" s="217">
        <f t="shared" si="31"/>
        <v>4</v>
      </c>
      <c r="AZ107" s="217">
        <f t="shared" si="32"/>
        <v>5</v>
      </c>
      <c r="BA107" s="217">
        <f t="shared" si="33"/>
        <v>0</v>
      </c>
      <c r="BB107" s="217">
        <f t="shared" si="34"/>
        <v>5</v>
      </c>
      <c r="BC107" s="217">
        <f t="shared" si="35"/>
        <v>69</v>
      </c>
      <c r="BD107" s="217"/>
      <c r="BE107" s="217">
        <f t="shared" si="36"/>
        <v>5</v>
      </c>
      <c r="BF107" s="217">
        <f t="shared" si="37"/>
        <v>5</v>
      </c>
      <c r="BG107" s="217">
        <f t="shared" si="38"/>
        <v>5</v>
      </c>
      <c r="BH107" s="217">
        <f t="shared" si="39"/>
        <v>5</v>
      </c>
      <c r="BI107" s="217">
        <f t="shared" si="40"/>
        <v>0</v>
      </c>
      <c r="BJ107" s="217">
        <f t="shared" si="41"/>
        <v>5</v>
      </c>
      <c r="BK107" s="217">
        <f t="shared" si="42"/>
        <v>70</v>
      </c>
    </row>
    <row r="108" spans="2:63" s="372" customFormat="1" ht="30" customHeight="1" x14ac:dyDescent="0.35">
      <c r="B108" s="373" t="s">
        <v>409</v>
      </c>
      <c r="C108" s="374" t="s">
        <v>284</v>
      </c>
      <c r="D108" s="375" t="s">
        <v>281</v>
      </c>
      <c r="E108" s="375" t="s">
        <v>281</v>
      </c>
      <c r="F108" s="375">
        <f>7+31.786133/60</f>
        <v>7.5297688833333334</v>
      </c>
      <c r="G108" s="375">
        <f>134+31.726577/60</f>
        <v>134.52877628333334</v>
      </c>
      <c r="H108" s="375">
        <f>7+31.887958/60</f>
        <v>7.5314659666666666</v>
      </c>
      <c r="I108" s="375">
        <f>134+31.623374/60</f>
        <v>134.52705623333333</v>
      </c>
      <c r="J108" s="375" t="s">
        <v>99</v>
      </c>
      <c r="K108" s="377">
        <v>1986</v>
      </c>
      <c r="L108" s="375" t="s">
        <v>278</v>
      </c>
      <c r="M108" s="378">
        <v>295</v>
      </c>
      <c r="N108" s="379">
        <v>4.9000000000000004</v>
      </c>
      <c r="O108" s="375">
        <v>2</v>
      </c>
      <c r="P108" s="375" t="s">
        <v>272</v>
      </c>
      <c r="Q108" s="375" t="s">
        <v>283</v>
      </c>
      <c r="R108" s="375" t="s">
        <v>270</v>
      </c>
      <c r="S108" s="380" t="s">
        <v>92</v>
      </c>
      <c r="T108" s="154">
        <v>2</v>
      </c>
      <c r="U108" s="154">
        <v>1</v>
      </c>
      <c r="V108" s="154">
        <v>4</v>
      </c>
      <c r="W108" s="154">
        <v>3</v>
      </c>
      <c r="X108" s="154" t="s">
        <v>311</v>
      </c>
      <c r="Y108" s="154">
        <v>3</v>
      </c>
      <c r="Z108" s="154">
        <f t="shared" si="43"/>
        <v>45</v>
      </c>
      <c r="AA108" s="405">
        <f t="shared" si="26"/>
        <v>147500</v>
      </c>
      <c r="AB108" s="405">
        <f t="shared" si="27"/>
        <v>88500</v>
      </c>
      <c r="AC108" s="407">
        <f t="shared" si="28"/>
        <v>1300</v>
      </c>
      <c r="AD108" s="343"/>
      <c r="AE108" s="343"/>
      <c r="AF108" s="343"/>
      <c r="AG108" s="343"/>
      <c r="AH108" s="381">
        <f t="shared" si="46"/>
        <v>59000</v>
      </c>
      <c r="AI108" s="381">
        <f t="shared" si="44"/>
        <v>88500</v>
      </c>
      <c r="AJ108" s="381"/>
      <c r="AK108" s="381"/>
      <c r="AW108" s="217">
        <f t="shared" si="29"/>
        <v>2</v>
      </c>
      <c r="AX108" s="217">
        <f t="shared" si="30"/>
        <v>1</v>
      </c>
      <c r="AY108" s="217">
        <f t="shared" si="31"/>
        <v>4</v>
      </c>
      <c r="AZ108" s="217">
        <f t="shared" si="32"/>
        <v>3</v>
      </c>
      <c r="BA108" s="217">
        <f t="shared" si="33"/>
        <v>0</v>
      </c>
      <c r="BB108" s="217">
        <f t="shared" si="34"/>
        <v>3</v>
      </c>
      <c r="BC108" s="217">
        <f t="shared" si="35"/>
        <v>31</v>
      </c>
      <c r="BD108" s="217"/>
      <c r="BE108" s="217">
        <f t="shared" si="36"/>
        <v>5</v>
      </c>
      <c r="BF108" s="217">
        <f t="shared" si="37"/>
        <v>5</v>
      </c>
      <c r="BG108" s="217">
        <f t="shared" si="38"/>
        <v>5</v>
      </c>
      <c r="BH108" s="217">
        <f t="shared" si="39"/>
        <v>5</v>
      </c>
      <c r="BI108" s="217">
        <f t="shared" si="40"/>
        <v>0</v>
      </c>
      <c r="BJ108" s="217">
        <f t="shared" si="41"/>
        <v>5</v>
      </c>
      <c r="BK108" s="217">
        <f t="shared" si="42"/>
        <v>70</v>
      </c>
    </row>
    <row r="109" spans="2:63" s="372" customFormat="1" ht="30" customHeight="1" x14ac:dyDescent="0.35">
      <c r="B109" s="373" t="s">
        <v>410</v>
      </c>
      <c r="C109" s="374" t="s">
        <v>287</v>
      </c>
      <c r="D109" s="375" t="s">
        <v>281</v>
      </c>
      <c r="E109" s="375" t="s">
        <v>290</v>
      </c>
      <c r="F109" s="375">
        <f>7+31.76619/60</f>
        <v>7.5294365000000001</v>
      </c>
      <c r="G109" s="375">
        <f>134+32.35529/60</f>
        <v>134.53925483333333</v>
      </c>
      <c r="H109" s="375">
        <f>7+31.786133/60</f>
        <v>7.5297688833333334</v>
      </c>
      <c r="I109" s="375">
        <f>134+31.726577/60</f>
        <v>134.52877628333334</v>
      </c>
      <c r="J109" s="375" t="s">
        <v>99</v>
      </c>
      <c r="K109" s="377">
        <v>2006</v>
      </c>
      <c r="L109" s="375" t="s">
        <v>278</v>
      </c>
      <c r="M109" s="378">
        <v>1225</v>
      </c>
      <c r="N109" s="379">
        <v>5.9</v>
      </c>
      <c r="O109" s="375">
        <v>2</v>
      </c>
      <c r="P109" s="375" t="s">
        <v>272</v>
      </c>
      <c r="Q109" s="375" t="s">
        <v>275</v>
      </c>
      <c r="R109" s="375" t="s">
        <v>288</v>
      </c>
      <c r="S109" s="380" t="s">
        <v>92</v>
      </c>
      <c r="T109" s="154">
        <v>5</v>
      </c>
      <c r="U109" s="154">
        <v>2</v>
      </c>
      <c r="V109" s="154">
        <v>3</v>
      </c>
      <c r="W109" s="154">
        <v>3</v>
      </c>
      <c r="X109" s="154" t="s">
        <v>311</v>
      </c>
      <c r="Y109" s="154">
        <v>3</v>
      </c>
      <c r="Z109" s="154">
        <f t="shared" si="43"/>
        <v>66</v>
      </c>
      <c r="AA109" s="405">
        <f t="shared" si="26"/>
        <v>612500</v>
      </c>
      <c r="AB109" s="405">
        <f t="shared" si="27"/>
        <v>367500</v>
      </c>
      <c r="AC109" s="407">
        <f t="shared" si="28"/>
        <v>5500</v>
      </c>
      <c r="AD109" s="343"/>
      <c r="AE109" s="343"/>
      <c r="AF109" s="343"/>
      <c r="AG109" s="343"/>
      <c r="AH109" s="381"/>
      <c r="AI109" s="381"/>
      <c r="AJ109" s="381"/>
      <c r="AK109" s="381"/>
      <c r="AW109" s="217">
        <f t="shared" si="29"/>
        <v>5</v>
      </c>
      <c r="AX109" s="217">
        <f t="shared" si="30"/>
        <v>2</v>
      </c>
      <c r="AY109" s="217">
        <f t="shared" si="31"/>
        <v>3</v>
      </c>
      <c r="AZ109" s="217">
        <f t="shared" si="32"/>
        <v>3</v>
      </c>
      <c r="BA109" s="217">
        <f t="shared" si="33"/>
        <v>0</v>
      </c>
      <c r="BB109" s="217">
        <f t="shared" si="34"/>
        <v>3</v>
      </c>
      <c r="BC109" s="217">
        <f t="shared" si="35"/>
        <v>46</v>
      </c>
      <c r="BD109" s="217"/>
      <c r="BE109" s="217">
        <f t="shared" si="36"/>
        <v>5</v>
      </c>
      <c r="BF109" s="217">
        <f t="shared" si="37"/>
        <v>5</v>
      </c>
      <c r="BG109" s="217">
        <f t="shared" si="38"/>
        <v>5</v>
      </c>
      <c r="BH109" s="217">
        <f t="shared" si="39"/>
        <v>5</v>
      </c>
      <c r="BI109" s="217">
        <f t="shared" si="40"/>
        <v>0</v>
      </c>
      <c r="BJ109" s="217">
        <f t="shared" si="41"/>
        <v>5</v>
      </c>
      <c r="BK109" s="217">
        <f t="shared" si="42"/>
        <v>70</v>
      </c>
    </row>
    <row r="110" spans="2:63" s="372" customFormat="1" ht="30" customHeight="1" x14ac:dyDescent="0.35">
      <c r="B110" s="373" t="s">
        <v>411</v>
      </c>
      <c r="C110" s="374" t="s">
        <v>572</v>
      </c>
      <c r="D110" s="375" t="s">
        <v>290</v>
      </c>
      <c r="E110" s="375" t="s">
        <v>290</v>
      </c>
      <c r="F110" s="375">
        <f>7+31.786133/60</f>
        <v>7.5297688833333334</v>
      </c>
      <c r="G110" s="375">
        <f>134+31.726577/60</f>
        <v>134.52877628333334</v>
      </c>
      <c r="H110" s="375">
        <f>7+31.624205/60</f>
        <v>7.5270700833333333</v>
      </c>
      <c r="I110" s="375">
        <f>134+32.646668/60</f>
        <v>134.54411113333333</v>
      </c>
      <c r="J110" s="375" t="s">
        <v>99</v>
      </c>
      <c r="K110" s="377">
        <v>2020</v>
      </c>
      <c r="L110" s="375" t="s">
        <v>278</v>
      </c>
      <c r="M110" s="378">
        <v>580</v>
      </c>
      <c r="N110" s="379">
        <v>6.1</v>
      </c>
      <c r="O110" s="375">
        <v>2</v>
      </c>
      <c r="P110" s="375" t="s">
        <v>272</v>
      </c>
      <c r="Q110" s="375" t="s">
        <v>275</v>
      </c>
      <c r="R110" s="375" t="s">
        <v>291</v>
      </c>
      <c r="S110" s="380" t="s">
        <v>271</v>
      </c>
      <c r="T110" s="154">
        <v>5</v>
      </c>
      <c r="U110" s="154">
        <v>5</v>
      </c>
      <c r="V110" s="154">
        <v>5</v>
      </c>
      <c r="W110" s="154">
        <v>5</v>
      </c>
      <c r="X110" s="154">
        <v>5</v>
      </c>
      <c r="Y110" s="154">
        <v>5</v>
      </c>
      <c r="Z110" s="154">
        <f t="shared" si="43"/>
        <v>100</v>
      </c>
      <c r="AA110" s="405">
        <f t="shared" si="26"/>
        <v>290000</v>
      </c>
      <c r="AB110" s="405">
        <f t="shared" si="27"/>
        <v>174000</v>
      </c>
      <c r="AC110" s="407">
        <f t="shared" si="28"/>
        <v>2600</v>
      </c>
      <c r="AD110" s="343"/>
      <c r="AE110" s="343"/>
      <c r="AF110" s="343"/>
      <c r="AG110" s="343"/>
      <c r="AH110" s="381"/>
      <c r="AI110" s="381"/>
      <c r="AJ110" s="381"/>
      <c r="AK110" s="381"/>
      <c r="AW110" s="217">
        <f t="shared" si="29"/>
        <v>5</v>
      </c>
      <c r="AX110" s="217">
        <f t="shared" si="30"/>
        <v>5</v>
      </c>
      <c r="AY110" s="217">
        <f t="shared" si="31"/>
        <v>5</v>
      </c>
      <c r="AZ110" s="217">
        <f t="shared" si="32"/>
        <v>5</v>
      </c>
      <c r="BA110" s="217">
        <f t="shared" si="33"/>
        <v>5</v>
      </c>
      <c r="BB110" s="217">
        <f t="shared" si="34"/>
        <v>5</v>
      </c>
      <c r="BC110" s="217">
        <f t="shared" si="35"/>
        <v>75</v>
      </c>
      <c r="BD110" s="217"/>
      <c r="BE110" s="217">
        <f t="shared" si="36"/>
        <v>5</v>
      </c>
      <c r="BF110" s="217">
        <f t="shared" si="37"/>
        <v>5</v>
      </c>
      <c r="BG110" s="217">
        <f t="shared" si="38"/>
        <v>5</v>
      </c>
      <c r="BH110" s="217">
        <f t="shared" si="39"/>
        <v>5</v>
      </c>
      <c r="BI110" s="217">
        <f t="shared" si="40"/>
        <v>5</v>
      </c>
      <c r="BJ110" s="217">
        <f t="shared" si="41"/>
        <v>5</v>
      </c>
      <c r="BK110" s="217">
        <f t="shared" si="42"/>
        <v>75</v>
      </c>
    </row>
    <row r="111" spans="2:63" s="372" customFormat="1" ht="30" customHeight="1" x14ac:dyDescent="0.35">
      <c r="B111" s="373" t="s">
        <v>412</v>
      </c>
      <c r="C111" s="374" t="s">
        <v>289</v>
      </c>
      <c r="D111" s="375" t="s">
        <v>290</v>
      </c>
      <c r="E111" s="375" t="s">
        <v>290</v>
      </c>
      <c r="F111" s="375">
        <f>7+31.624205/60</f>
        <v>7.5270700833333333</v>
      </c>
      <c r="G111" s="375">
        <f>134+32.646668/60</f>
        <v>134.54411113333333</v>
      </c>
      <c r="H111" s="375">
        <f>7+31.628928/60</f>
        <v>7.5271488</v>
      </c>
      <c r="I111" s="375">
        <f>134+32.535258/60</f>
        <v>134.5422543</v>
      </c>
      <c r="J111" s="375" t="s">
        <v>99</v>
      </c>
      <c r="K111" s="377">
        <v>2016</v>
      </c>
      <c r="L111" s="375" t="s">
        <v>278</v>
      </c>
      <c r="M111" s="378">
        <v>220</v>
      </c>
      <c r="N111" s="379">
        <v>6.1</v>
      </c>
      <c r="O111" s="375">
        <v>2</v>
      </c>
      <c r="P111" s="375" t="s">
        <v>272</v>
      </c>
      <c r="Q111" s="375" t="s">
        <v>275</v>
      </c>
      <c r="R111" s="375" t="s">
        <v>291</v>
      </c>
      <c r="S111" s="380" t="s">
        <v>271</v>
      </c>
      <c r="T111" s="154">
        <v>5</v>
      </c>
      <c r="U111" s="154">
        <v>5</v>
      </c>
      <c r="V111" s="154">
        <v>5</v>
      </c>
      <c r="W111" s="154">
        <v>5</v>
      </c>
      <c r="X111" s="154">
        <v>5</v>
      </c>
      <c r="Y111" s="154">
        <v>5</v>
      </c>
      <c r="Z111" s="154">
        <f t="shared" si="43"/>
        <v>100</v>
      </c>
      <c r="AA111" s="405">
        <f t="shared" si="26"/>
        <v>110000</v>
      </c>
      <c r="AB111" s="405">
        <f t="shared" si="27"/>
        <v>66000</v>
      </c>
      <c r="AC111" s="407">
        <f t="shared" si="28"/>
        <v>1000</v>
      </c>
      <c r="AD111" s="343"/>
      <c r="AE111" s="343"/>
      <c r="AF111" s="343"/>
      <c r="AG111" s="343"/>
      <c r="AH111" s="381"/>
      <c r="AI111" s="381"/>
      <c r="AJ111" s="381"/>
      <c r="AK111" s="381"/>
      <c r="AW111" s="217">
        <f t="shared" si="29"/>
        <v>5</v>
      </c>
      <c r="AX111" s="217">
        <f t="shared" si="30"/>
        <v>5</v>
      </c>
      <c r="AY111" s="217">
        <f t="shared" si="31"/>
        <v>5</v>
      </c>
      <c r="AZ111" s="217">
        <f t="shared" si="32"/>
        <v>5</v>
      </c>
      <c r="BA111" s="217">
        <f t="shared" si="33"/>
        <v>5</v>
      </c>
      <c r="BB111" s="217">
        <f t="shared" si="34"/>
        <v>5</v>
      </c>
      <c r="BC111" s="217">
        <f t="shared" si="35"/>
        <v>75</v>
      </c>
      <c r="BD111" s="217"/>
      <c r="BE111" s="217">
        <f t="shared" si="36"/>
        <v>5</v>
      </c>
      <c r="BF111" s="217">
        <f t="shared" si="37"/>
        <v>5</v>
      </c>
      <c r="BG111" s="217">
        <f t="shared" si="38"/>
        <v>5</v>
      </c>
      <c r="BH111" s="217">
        <f t="shared" si="39"/>
        <v>5</v>
      </c>
      <c r="BI111" s="217">
        <f t="shared" si="40"/>
        <v>5</v>
      </c>
      <c r="BJ111" s="217">
        <f t="shared" si="41"/>
        <v>5</v>
      </c>
      <c r="BK111" s="217">
        <f t="shared" si="42"/>
        <v>75</v>
      </c>
    </row>
    <row r="112" spans="2:63" s="372" customFormat="1" ht="30" customHeight="1" x14ac:dyDescent="0.35">
      <c r="B112" s="373" t="s">
        <v>413</v>
      </c>
      <c r="C112" s="374" t="s">
        <v>292</v>
      </c>
      <c r="D112" s="375" t="s">
        <v>290</v>
      </c>
      <c r="E112" s="375" t="s">
        <v>290</v>
      </c>
      <c r="F112" s="375">
        <f>7+31.534312/60</f>
        <v>7.5255718666666667</v>
      </c>
      <c r="G112" s="375">
        <f>134+32.756258/60</f>
        <v>134.54593763333332</v>
      </c>
      <c r="H112" s="375">
        <f>7+31.624205/60</f>
        <v>7.5270700833333333</v>
      </c>
      <c r="I112" s="375">
        <f>134+32.646668/60</f>
        <v>134.54411113333333</v>
      </c>
      <c r="J112" s="375" t="s">
        <v>99</v>
      </c>
      <c r="K112" s="377">
        <v>2015</v>
      </c>
      <c r="L112" s="375" t="s">
        <v>278</v>
      </c>
      <c r="M112" s="378">
        <v>220</v>
      </c>
      <c r="N112" s="379">
        <f>20*0.3048</f>
        <v>6.0960000000000001</v>
      </c>
      <c r="O112" s="375">
        <v>2</v>
      </c>
      <c r="P112" s="375" t="s">
        <v>272</v>
      </c>
      <c r="Q112" s="375" t="s">
        <v>275</v>
      </c>
      <c r="R112" s="375" t="s">
        <v>291</v>
      </c>
      <c r="S112" s="380" t="s">
        <v>271</v>
      </c>
      <c r="T112" s="154">
        <v>5</v>
      </c>
      <c r="U112" s="154">
        <v>5</v>
      </c>
      <c r="V112" s="154">
        <v>5</v>
      </c>
      <c r="W112" s="154">
        <v>5</v>
      </c>
      <c r="X112" s="154">
        <v>5</v>
      </c>
      <c r="Y112" s="154">
        <v>5</v>
      </c>
      <c r="Z112" s="154">
        <f t="shared" si="43"/>
        <v>100</v>
      </c>
      <c r="AA112" s="405">
        <f t="shared" si="26"/>
        <v>110000</v>
      </c>
      <c r="AB112" s="405">
        <f t="shared" si="27"/>
        <v>66000</v>
      </c>
      <c r="AC112" s="407">
        <f t="shared" si="28"/>
        <v>1000</v>
      </c>
      <c r="AD112" s="343"/>
      <c r="AE112" s="343"/>
      <c r="AF112" s="343"/>
      <c r="AG112" s="343"/>
      <c r="AH112" s="381"/>
      <c r="AI112" s="381"/>
      <c r="AJ112" s="381"/>
      <c r="AK112" s="381"/>
      <c r="AW112" s="217">
        <f t="shared" si="29"/>
        <v>5</v>
      </c>
      <c r="AX112" s="217">
        <f t="shared" si="30"/>
        <v>5</v>
      </c>
      <c r="AY112" s="217">
        <f t="shared" si="31"/>
        <v>5</v>
      </c>
      <c r="AZ112" s="217">
        <f t="shared" si="32"/>
        <v>5</v>
      </c>
      <c r="BA112" s="217">
        <f t="shared" si="33"/>
        <v>5</v>
      </c>
      <c r="BB112" s="217">
        <f t="shared" si="34"/>
        <v>5</v>
      </c>
      <c r="BC112" s="217">
        <f t="shared" si="35"/>
        <v>75</v>
      </c>
      <c r="BD112" s="217"/>
      <c r="BE112" s="217">
        <f t="shared" si="36"/>
        <v>5</v>
      </c>
      <c r="BF112" s="217">
        <f t="shared" si="37"/>
        <v>5</v>
      </c>
      <c r="BG112" s="217">
        <f t="shared" si="38"/>
        <v>5</v>
      </c>
      <c r="BH112" s="217">
        <f t="shared" si="39"/>
        <v>5</v>
      </c>
      <c r="BI112" s="217">
        <f t="shared" si="40"/>
        <v>5</v>
      </c>
      <c r="BJ112" s="217">
        <f t="shared" si="41"/>
        <v>5</v>
      </c>
      <c r="BK112" s="217">
        <f t="shared" si="42"/>
        <v>75</v>
      </c>
    </row>
    <row r="113" spans="2:63" s="372" customFormat="1" ht="30" customHeight="1" x14ac:dyDescent="0.35">
      <c r="B113" s="373" t="s">
        <v>414</v>
      </c>
      <c r="C113" s="374" t="s">
        <v>293</v>
      </c>
      <c r="D113" s="375" t="s">
        <v>290</v>
      </c>
      <c r="E113" s="375" t="s">
        <v>290</v>
      </c>
      <c r="F113" s="375">
        <f>7+31.519033/60</f>
        <v>7.5253172166666662</v>
      </c>
      <c r="G113" s="375">
        <f>134+32.862801/60</f>
        <v>134.54771335000001</v>
      </c>
      <c r="H113" s="375">
        <f>7+31.534312/60</f>
        <v>7.5255718666666667</v>
      </c>
      <c r="I113" s="375">
        <f>134+32.756258/60</f>
        <v>134.54593763333332</v>
      </c>
      <c r="J113" s="375" t="s">
        <v>99</v>
      </c>
      <c r="K113" s="377">
        <v>2014</v>
      </c>
      <c r="L113" s="375" t="s">
        <v>278</v>
      </c>
      <c r="M113" s="378">
        <v>260</v>
      </c>
      <c r="N113" s="379">
        <f>20*0.3048</f>
        <v>6.0960000000000001</v>
      </c>
      <c r="O113" s="375">
        <v>2</v>
      </c>
      <c r="P113" s="375" t="s">
        <v>272</v>
      </c>
      <c r="Q113" s="375" t="s">
        <v>275</v>
      </c>
      <c r="R113" s="375" t="s">
        <v>291</v>
      </c>
      <c r="S113" s="380" t="s">
        <v>271</v>
      </c>
      <c r="T113" s="154">
        <v>5</v>
      </c>
      <c r="U113" s="154">
        <v>5</v>
      </c>
      <c r="V113" s="154">
        <v>5</v>
      </c>
      <c r="W113" s="154">
        <v>5</v>
      </c>
      <c r="X113" s="154">
        <v>5</v>
      </c>
      <c r="Y113" s="154">
        <v>5</v>
      </c>
      <c r="Z113" s="154">
        <f t="shared" si="43"/>
        <v>100</v>
      </c>
      <c r="AA113" s="405">
        <f t="shared" si="26"/>
        <v>130000</v>
      </c>
      <c r="AB113" s="405">
        <f t="shared" si="27"/>
        <v>78000</v>
      </c>
      <c r="AC113" s="407">
        <f t="shared" si="28"/>
        <v>1200</v>
      </c>
      <c r="AD113" s="343"/>
      <c r="AE113" s="343"/>
      <c r="AF113" s="343"/>
      <c r="AG113" s="343"/>
      <c r="AH113" s="381"/>
      <c r="AI113" s="381"/>
      <c r="AJ113" s="381"/>
      <c r="AK113" s="381"/>
      <c r="AW113" s="217">
        <f t="shared" si="29"/>
        <v>5</v>
      </c>
      <c r="AX113" s="217">
        <f t="shared" si="30"/>
        <v>5</v>
      </c>
      <c r="AY113" s="217">
        <f t="shared" si="31"/>
        <v>5</v>
      </c>
      <c r="AZ113" s="217">
        <f t="shared" si="32"/>
        <v>5</v>
      </c>
      <c r="BA113" s="217">
        <f t="shared" si="33"/>
        <v>5</v>
      </c>
      <c r="BB113" s="217">
        <f t="shared" si="34"/>
        <v>5</v>
      </c>
      <c r="BC113" s="217">
        <f t="shared" si="35"/>
        <v>75</v>
      </c>
      <c r="BD113" s="217"/>
      <c r="BE113" s="217">
        <f t="shared" si="36"/>
        <v>5</v>
      </c>
      <c r="BF113" s="217">
        <f t="shared" si="37"/>
        <v>5</v>
      </c>
      <c r="BG113" s="217">
        <f t="shared" si="38"/>
        <v>5</v>
      </c>
      <c r="BH113" s="217">
        <f t="shared" si="39"/>
        <v>5</v>
      </c>
      <c r="BI113" s="217">
        <f t="shared" si="40"/>
        <v>5</v>
      </c>
      <c r="BJ113" s="217">
        <f t="shared" si="41"/>
        <v>5</v>
      </c>
      <c r="BK113" s="217">
        <f t="shared" si="42"/>
        <v>75</v>
      </c>
    </row>
    <row r="114" spans="2:63" s="372" customFormat="1" ht="30" customHeight="1" x14ac:dyDescent="0.35">
      <c r="B114" s="373" t="s">
        <v>414</v>
      </c>
      <c r="C114" s="374" t="s">
        <v>338</v>
      </c>
      <c r="D114" s="375" t="s">
        <v>290</v>
      </c>
      <c r="E114" s="375" t="s">
        <v>290</v>
      </c>
      <c r="F114" s="375">
        <f>7+31.466384/60</f>
        <v>7.5244397333333337</v>
      </c>
      <c r="G114" s="375">
        <f>134+33.108328/60</f>
        <v>134.55180546666668</v>
      </c>
      <c r="H114" s="375">
        <f>7+31.540628/60</f>
        <v>7.5256771333333337</v>
      </c>
      <c r="I114" s="375">
        <f>134+32.988745/60</f>
        <v>134.54981241666667</v>
      </c>
      <c r="J114" s="375" t="s">
        <v>99</v>
      </c>
      <c r="K114" s="377">
        <v>2009</v>
      </c>
      <c r="L114" s="375" t="s">
        <v>278</v>
      </c>
      <c r="M114" s="378">
        <v>235</v>
      </c>
      <c r="N114" s="379">
        <f>20*0.3048</f>
        <v>6.0960000000000001</v>
      </c>
      <c r="O114" s="375">
        <v>2</v>
      </c>
      <c r="P114" s="375" t="s">
        <v>83</v>
      </c>
      <c r="Q114" s="375" t="s">
        <v>275</v>
      </c>
      <c r="R114" s="375" t="s">
        <v>291</v>
      </c>
      <c r="S114" s="380" t="s">
        <v>271</v>
      </c>
      <c r="T114" s="154">
        <v>5</v>
      </c>
      <c r="U114" s="154">
        <v>5</v>
      </c>
      <c r="V114" s="154">
        <v>5</v>
      </c>
      <c r="W114" s="154">
        <v>5</v>
      </c>
      <c r="X114" s="154">
        <v>5</v>
      </c>
      <c r="Y114" s="154">
        <v>5</v>
      </c>
      <c r="Z114" s="154">
        <f t="shared" si="43"/>
        <v>100</v>
      </c>
      <c r="AA114" s="405">
        <f t="shared" si="26"/>
        <v>117500</v>
      </c>
      <c r="AB114" s="405">
        <f t="shared" si="27"/>
        <v>70500</v>
      </c>
      <c r="AC114" s="407">
        <f t="shared" si="28"/>
        <v>1100</v>
      </c>
      <c r="AD114" s="343"/>
      <c r="AE114" s="343"/>
      <c r="AF114" s="343"/>
      <c r="AG114" s="343"/>
      <c r="AH114" s="381"/>
      <c r="AI114" s="381"/>
      <c r="AJ114" s="381"/>
      <c r="AK114" s="381"/>
      <c r="AW114" s="217">
        <f t="shared" si="29"/>
        <v>5</v>
      </c>
      <c r="AX114" s="217">
        <f t="shared" si="30"/>
        <v>5</v>
      </c>
      <c r="AY114" s="217">
        <f t="shared" si="31"/>
        <v>5</v>
      </c>
      <c r="AZ114" s="217">
        <f t="shared" si="32"/>
        <v>5</v>
      </c>
      <c r="BA114" s="217">
        <f t="shared" si="33"/>
        <v>5</v>
      </c>
      <c r="BB114" s="217">
        <f t="shared" si="34"/>
        <v>5</v>
      </c>
      <c r="BC114" s="217">
        <f t="shared" si="35"/>
        <v>75</v>
      </c>
      <c r="BD114" s="217"/>
      <c r="BE114" s="217">
        <f t="shared" si="36"/>
        <v>5</v>
      </c>
      <c r="BF114" s="217">
        <f t="shared" si="37"/>
        <v>5</v>
      </c>
      <c r="BG114" s="217">
        <f t="shared" si="38"/>
        <v>5</v>
      </c>
      <c r="BH114" s="217">
        <f t="shared" si="39"/>
        <v>5</v>
      </c>
      <c r="BI114" s="217">
        <f t="shared" si="40"/>
        <v>5</v>
      </c>
      <c r="BJ114" s="217">
        <f t="shared" si="41"/>
        <v>5</v>
      </c>
      <c r="BK114" s="217">
        <f t="shared" si="42"/>
        <v>75</v>
      </c>
    </row>
    <row r="115" spans="2:63" s="372" customFormat="1" ht="30" customHeight="1" x14ac:dyDescent="0.35">
      <c r="B115" s="373" t="s">
        <v>573</v>
      </c>
      <c r="C115" s="374" t="s">
        <v>294</v>
      </c>
      <c r="D115" s="375" t="s">
        <v>290</v>
      </c>
      <c r="E115" s="375" t="s">
        <v>290</v>
      </c>
      <c r="F115" s="375">
        <f>7+31.466384/60</f>
        <v>7.5244397333333337</v>
      </c>
      <c r="G115" s="375">
        <f>134+33.108328/60</f>
        <v>134.55180546666668</v>
      </c>
      <c r="H115" s="375">
        <f>7+31.540628/60</f>
        <v>7.5256771333333337</v>
      </c>
      <c r="I115" s="375">
        <f>134+32.988745/60</f>
        <v>134.54981241666667</v>
      </c>
      <c r="J115" s="375" t="s">
        <v>99</v>
      </c>
      <c r="K115" s="377">
        <v>2007</v>
      </c>
      <c r="L115" s="375" t="s">
        <v>278</v>
      </c>
      <c r="M115" s="378">
        <v>305</v>
      </c>
      <c r="N115" s="379">
        <f>20*0.3048</f>
        <v>6.0960000000000001</v>
      </c>
      <c r="O115" s="375">
        <v>2</v>
      </c>
      <c r="P115" s="375" t="s">
        <v>83</v>
      </c>
      <c r="Q115" s="375" t="s">
        <v>275</v>
      </c>
      <c r="R115" s="375" t="s">
        <v>291</v>
      </c>
      <c r="S115" s="380" t="s">
        <v>271</v>
      </c>
      <c r="T115" s="154">
        <v>5</v>
      </c>
      <c r="U115" s="154">
        <v>5</v>
      </c>
      <c r="V115" s="154">
        <v>5</v>
      </c>
      <c r="W115" s="154">
        <v>5</v>
      </c>
      <c r="X115" s="154">
        <v>5</v>
      </c>
      <c r="Y115" s="154">
        <v>5</v>
      </c>
      <c r="Z115" s="154">
        <f t="shared" si="43"/>
        <v>100</v>
      </c>
      <c r="AA115" s="405">
        <f t="shared" si="26"/>
        <v>152500</v>
      </c>
      <c r="AB115" s="405">
        <f t="shared" si="27"/>
        <v>91500</v>
      </c>
      <c r="AC115" s="407">
        <f t="shared" si="28"/>
        <v>1400</v>
      </c>
      <c r="AD115" s="343"/>
      <c r="AE115" s="343"/>
      <c r="AF115" s="343"/>
      <c r="AG115" s="343"/>
      <c r="AH115" s="381"/>
      <c r="AI115" s="381"/>
      <c r="AJ115" s="381"/>
      <c r="AK115" s="381"/>
      <c r="AW115" s="217">
        <f t="shared" si="29"/>
        <v>5</v>
      </c>
      <c r="AX115" s="217">
        <f t="shared" si="30"/>
        <v>5</v>
      </c>
      <c r="AY115" s="217">
        <f t="shared" si="31"/>
        <v>5</v>
      </c>
      <c r="AZ115" s="217">
        <f t="shared" si="32"/>
        <v>5</v>
      </c>
      <c r="BA115" s="217">
        <f t="shared" si="33"/>
        <v>5</v>
      </c>
      <c r="BB115" s="217">
        <f t="shared" si="34"/>
        <v>5</v>
      </c>
      <c r="BC115" s="217">
        <f t="shared" si="35"/>
        <v>75</v>
      </c>
      <c r="BD115" s="217"/>
      <c r="BE115" s="217">
        <f t="shared" si="36"/>
        <v>5</v>
      </c>
      <c r="BF115" s="217">
        <f t="shared" si="37"/>
        <v>5</v>
      </c>
      <c r="BG115" s="217">
        <f t="shared" si="38"/>
        <v>5</v>
      </c>
      <c r="BH115" s="217">
        <f t="shared" si="39"/>
        <v>5</v>
      </c>
      <c r="BI115" s="217">
        <f t="shared" si="40"/>
        <v>5</v>
      </c>
      <c r="BJ115" s="217">
        <f t="shared" si="41"/>
        <v>5</v>
      </c>
      <c r="BK115" s="217">
        <f t="shared" si="42"/>
        <v>75</v>
      </c>
    </row>
    <row r="116" spans="2:63" s="372" customFormat="1" ht="30" customHeight="1" x14ac:dyDescent="0.35">
      <c r="B116" s="373"/>
      <c r="C116" s="374"/>
      <c r="D116" s="375"/>
      <c r="E116" s="375"/>
      <c r="F116" s="383"/>
      <c r="G116" s="383"/>
      <c r="H116" s="383"/>
      <c r="I116" s="383"/>
      <c r="J116" s="375"/>
      <c r="K116" s="386"/>
      <c r="L116" s="377"/>
      <c r="M116" s="378"/>
      <c r="N116" s="379"/>
      <c r="O116" s="375"/>
      <c r="P116" s="375"/>
      <c r="Q116" s="375"/>
      <c r="R116" s="375"/>
      <c r="S116" s="380"/>
      <c r="T116" s="154"/>
      <c r="U116" s="154"/>
      <c r="V116" s="154"/>
      <c r="W116" s="154"/>
      <c r="X116" s="154"/>
      <c r="Y116" s="154"/>
      <c r="Z116" s="154"/>
      <c r="AA116" s="405">
        <f t="shared" si="26"/>
        <v>0</v>
      </c>
      <c r="AB116" s="405">
        <f t="shared" si="27"/>
        <v>0</v>
      </c>
      <c r="AC116" s="407">
        <f t="shared" si="28"/>
        <v>0</v>
      </c>
      <c r="AD116" s="343"/>
      <c r="AE116" s="343"/>
      <c r="AF116" s="343"/>
      <c r="AG116" s="343"/>
      <c r="AH116" s="381"/>
      <c r="AI116" s="381"/>
      <c r="AJ116" s="381"/>
      <c r="AK116" s="381"/>
      <c r="AW116" s="217">
        <f t="shared" si="29"/>
        <v>0</v>
      </c>
      <c r="AX116" s="217">
        <f t="shared" si="30"/>
        <v>0</v>
      </c>
      <c r="AY116" s="217">
        <f t="shared" si="31"/>
        <v>0</v>
      </c>
      <c r="AZ116" s="217">
        <f t="shared" si="32"/>
        <v>0</v>
      </c>
      <c r="BA116" s="217">
        <f t="shared" si="33"/>
        <v>0</v>
      </c>
      <c r="BB116" s="217">
        <f t="shared" si="34"/>
        <v>0</v>
      </c>
      <c r="BC116" s="217">
        <f t="shared" si="35"/>
        <v>0</v>
      </c>
      <c r="BD116" s="217"/>
      <c r="BE116" s="217">
        <f t="shared" si="36"/>
        <v>0</v>
      </c>
      <c r="BF116" s="217">
        <f t="shared" si="37"/>
        <v>0</v>
      </c>
      <c r="BG116" s="217">
        <f t="shared" si="38"/>
        <v>0</v>
      </c>
      <c r="BH116" s="217">
        <f t="shared" si="39"/>
        <v>0</v>
      </c>
      <c r="BI116" s="217">
        <f t="shared" si="40"/>
        <v>0</v>
      </c>
      <c r="BJ116" s="217">
        <f t="shared" si="41"/>
        <v>0</v>
      </c>
      <c r="BK116" s="217">
        <f t="shared" si="42"/>
        <v>0</v>
      </c>
    </row>
    <row r="117" spans="2:63" s="372" customFormat="1" ht="30" customHeight="1" x14ac:dyDescent="0.35">
      <c r="B117" s="373" t="s">
        <v>608</v>
      </c>
      <c r="C117" s="374" t="s">
        <v>609</v>
      </c>
      <c r="D117" s="375" t="s">
        <v>610</v>
      </c>
      <c r="E117" s="375" t="s">
        <v>576</v>
      </c>
      <c r="F117" s="383">
        <f>7+29/60+16/3600</f>
        <v>7.4877777777777776</v>
      </c>
      <c r="G117" s="383">
        <f>134+36/60+39/3600</f>
        <v>134.61083333333332</v>
      </c>
      <c r="H117" s="383">
        <f>7+28/60+50/3600</f>
        <v>7.4805555555555561</v>
      </c>
      <c r="I117" s="383">
        <f>134+36/60+56/3600</f>
        <v>134.61555555555555</v>
      </c>
      <c r="J117" s="375" t="s">
        <v>99</v>
      </c>
      <c r="K117" s="377">
        <v>2001</v>
      </c>
      <c r="L117" s="377" t="s">
        <v>311</v>
      </c>
      <c r="M117" s="378">
        <v>2350</v>
      </c>
      <c r="N117" s="379">
        <v>6.1</v>
      </c>
      <c r="O117" s="375">
        <v>2</v>
      </c>
      <c r="P117" s="375" t="s">
        <v>272</v>
      </c>
      <c r="Q117" s="375" t="s">
        <v>503</v>
      </c>
      <c r="R117" s="375" t="s">
        <v>92</v>
      </c>
      <c r="S117" s="380" t="s">
        <v>92</v>
      </c>
      <c r="T117" s="154">
        <v>3</v>
      </c>
      <c r="U117" s="154">
        <v>2</v>
      </c>
      <c r="V117" s="154">
        <v>1</v>
      </c>
      <c r="W117" s="154">
        <v>1</v>
      </c>
      <c r="X117" s="154" t="s">
        <v>311</v>
      </c>
      <c r="Y117" s="154">
        <v>2</v>
      </c>
      <c r="Z117" s="154">
        <f t="shared" si="43"/>
        <v>43</v>
      </c>
      <c r="AA117" s="405">
        <f t="shared" si="26"/>
        <v>1175000</v>
      </c>
      <c r="AB117" s="405">
        <f t="shared" si="27"/>
        <v>705000</v>
      </c>
      <c r="AC117" s="407">
        <f t="shared" si="28"/>
        <v>10600</v>
      </c>
      <c r="AD117" s="343"/>
      <c r="AE117" s="343"/>
      <c r="AF117" s="343"/>
      <c r="AG117" s="343"/>
      <c r="AH117" s="381"/>
      <c r="AI117" s="381">
        <f t="shared" si="44"/>
        <v>705000</v>
      </c>
      <c r="AJ117" s="381">
        <f t="shared" si="45"/>
        <v>235000</v>
      </c>
      <c r="AK117" s="381"/>
      <c r="AW117" s="217">
        <f t="shared" si="29"/>
        <v>3</v>
      </c>
      <c r="AX117" s="217">
        <f t="shared" si="30"/>
        <v>2</v>
      </c>
      <c r="AY117" s="217">
        <f t="shared" si="31"/>
        <v>1</v>
      </c>
      <c r="AZ117" s="217">
        <f t="shared" si="32"/>
        <v>1</v>
      </c>
      <c r="BA117" s="217">
        <f t="shared" si="33"/>
        <v>0</v>
      </c>
      <c r="BB117" s="217">
        <f t="shared" si="34"/>
        <v>2</v>
      </c>
      <c r="BC117" s="217">
        <f t="shared" si="35"/>
        <v>30</v>
      </c>
      <c r="BD117" s="217"/>
      <c r="BE117" s="217">
        <f t="shared" si="36"/>
        <v>5</v>
      </c>
      <c r="BF117" s="217">
        <f t="shared" si="37"/>
        <v>5</v>
      </c>
      <c r="BG117" s="217">
        <f t="shared" si="38"/>
        <v>5</v>
      </c>
      <c r="BH117" s="217">
        <f t="shared" si="39"/>
        <v>5</v>
      </c>
      <c r="BI117" s="217">
        <f t="shared" si="40"/>
        <v>0</v>
      </c>
      <c r="BJ117" s="217">
        <f t="shared" si="41"/>
        <v>5</v>
      </c>
      <c r="BK117" s="217">
        <f t="shared" si="42"/>
        <v>70</v>
      </c>
    </row>
    <row r="118" spans="2:63" s="372" customFormat="1" ht="30" customHeight="1" x14ac:dyDescent="0.35">
      <c r="B118" s="373" t="s">
        <v>613</v>
      </c>
      <c r="C118" s="374" t="s">
        <v>611</v>
      </c>
      <c r="D118" s="375" t="s">
        <v>610</v>
      </c>
      <c r="E118" s="375" t="s">
        <v>610</v>
      </c>
      <c r="F118" s="383">
        <f>7+28/60+58/3600</f>
        <v>7.4827777777777778</v>
      </c>
      <c r="G118" s="383">
        <f>134+36/60+59/3600</f>
        <v>134.61638888888888</v>
      </c>
      <c r="H118" s="383">
        <f>7+28/60+47/3600</f>
        <v>7.4797222222222226</v>
      </c>
      <c r="I118" s="383">
        <f>134+36/60+54/3600</f>
        <v>134.61499999999998</v>
      </c>
      <c r="J118" s="375" t="s">
        <v>99</v>
      </c>
      <c r="K118" s="377">
        <v>2004</v>
      </c>
      <c r="L118" s="377" t="s">
        <v>311</v>
      </c>
      <c r="M118" s="378">
        <v>395</v>
      </c>
      <c r="N118" s="379">
        <v>6.1</v>
      </c>
      <c r="O118" s="375">
        <v>2</v>
      </c>
      <c r="P118" s="375" t="s">
        <v>83</v>
      </c>
      <c r="Q118" s="375" t="s">
        <v>275</v>
      </c>
      <c r="R118" s="375" t="s">
        <v>291</v>
      </c>
      <c r="S118" s="380" t="s">
        <v>271</v>
      </c>
      <c r="T118" s="154">
        <v>5</v>
      </c>
      <c r="U118" s="154">
        <v>5</v>
      </c>
      <c r="V118" s="154">
        <v>4</v>
      </c>
      <c r="W118" s="154">
        <v>5</v>
      </c>
      <c r="X118" s="154">
        <v>5</v>
      </c>
      <c r="Y118" s="154">
        <v>5</v>
      </c>
      <c r="Z118" s="154">
        <f t="shared" si="43"/>
        <v>99</v>
      </c>
      <c r="AA118" s="405">
        <f t="shared" si="26"/>
        <v>197500</v>
      </c>
      <c r="AB118" s="405">
        <f t="shared" si="27"/>
        <v>118500</v>
      </c>
      <c r="AC118" s="407">
        <f t="shared" si="28"/>
        <v>1800</v>
      </c>
      <c r="AD118" s="343"/>
      <c r="AE118" s="343"/>
      <c r="AF118" s="343"/>
      <c r="AG118" s="343"/>
      <c r="AH118" s="381"/>
      <c r="AI118" s="381"/>
      <c r="AJ118" s="381"/>
      <c r="AK118" s="381"/>
      <c r="AW118" s="217">
        <f t="shared" si="29"/>
        <v>5</v>
      </c>
      <c r="AX118" s="217">
        <f t="shared" si="30"/>
        <v>5</v>
      </c>
      <c r="AY118" s="217">
        <f t="shared" si="31"/>
        <v>4</v>
      </c>
      <c r="AZ118" s="217">
        <f t="shared" si="32"/>
        <v>5</v>
      </c>
      <c r="BA118" s="217">
        <f t="shared" si="33"/>
        <v>5</v>
      </c>
      <c r="BB118" s="217">
        <f t="shared" si="34"/>
        <v>5</v>
      </c>
      <c r="BC118" s="217">
        <f t="shared" si="35"/>
        <v>74</v>
      </c>
      <c r="BD118" s="217"/>
      <c r="BE118" s="217">
        <f t="shared" si="36"/>
        <v>5</v>
      </c>
      <c r="BF118" s="217">
        <f t="shared" si="37"/>
        <v>5</v>
      </c>
      <c r="BG118" s="217">
        <f t="shared" si="38"/>
        <v>5</v>
      </c>
      <c r="BH118" s="217">
        <f t="shared" si="39"/>
        <v>5</v>
      </c>
      <c r="BI118" s="217">
        <f t="shared" si="40"/>
        <v>5</v>
      </c>
      <c r="BJ118" s="217">
        <f t="shared" si="41"/>
        <v>5</v>
      </c>
      <c r="BK118" s="217">
        <f t="shared" si="42"/>
        <v>75</v>
      </c>
    </row>
    <row r="119" spans="2:63" s="372" customFormat="1" ht="30" customHeight="1" x14ac:dyDescent="0.35">
      <c r="B119" s="373" t="s">
        <v>612</v>
      </c>
      <c r="C119" s="374" t="s">
        <v>614</v>
      </c>
      <c r="D119" s="375" t="s">
        <v>610</v>
      </c>
      <c r="E119" s="375" t="s">
        <v>610</v>
      </c>
      <c r="F119" s="383">
        <f>7+28/60+47/3600</f>
        <v>7.4797222222222226</v>
      </c>
      <c r="G119" s="383">
        <f>134+36/60+54/3600</f>
        <v>134.61499999999998</v>
      </c>
      <c r="H119" s="383">
        <f>7+28/60+12/3600</f>
        <v>7.47</v>
      </c>
      <c r="I119" s="383">
        <f>134+36/60+40/3600</f>
        <v>134.61111111111111</v>
      </c>
      <c r="J119" s="375" t="s">
        <v>99</v>
      </c>
      <c r="K119" s="377">
        <v>2005</v>
      </c>
      <c r="L119" s="377" t="s">
        <v>311</v>
      </c>
      <c r="M119" s="378">
        <v>610</v>
      </c>
      <c r="N119" s="379">
        <v>6.1</v>
      </c>
      <c r="O119" s="375">
        <v>2</v>
      </c>
      <c r="P119" s="375" t="s">
        <v>83</v>
      </c>
      <c r="Q119" s="375" t="s">
        <v>275</v>
      </c>
      <c r="R119" s="375" t="s">
        <v>291</v>
      </c>
      <c r="S119" s="380" t="s">
        <v>271</v>
      </c>
      <c r="T119" s="154">
        <v>5</v>
      </c>
      <c r="U119" s="154">
        <v>5</v>
      </c>
      <c r="V119" s="154">
        <v>4</v>
      </c>
      <c r="W119" s="154">
        <v>5</v>
      </c>
      <c r="X119" s="154">
        <v>5</v>
      </c>
      <c r="Y119" s="154">
        <v>5</v>
      </c>
      <c r="Z119" s="154">
        <f t="shared" si="43"/>
        <v>99</v>
      </c>
      <c r="AA119" s="405">
        <f t="shared" si="26"/>
        <v>305000</v>
      </c>
      <c r="AB119" s="405">
        <f t="shared" si="27"/>
        <v>183000</v>
      </c>
      <c r="AC119" s="407">
        <f t="shared" si="28"/>
        <v>2700</v>
      </c>
      <c r="AD119" s="343"/>
      <c r="AE119" s="343"/>
      <c r="AF119" s="343"/>
      <c r="AG119" s="343"/>
      <c r="AH119" s="381"/>
      <c r="AI119" s="381"/>
      <c r="AJ119" s="381"/>
      <c r="AK119" s="381"/>
      <c r="AW119" s="217">
        <f t="shared" si="29"/>
        <v>5</v>
      </c>
      <c r="AX119" s="217">
        <f t="shared" si="30"/>
        <v>5</v>
      </c>
      <c r="AY119" s="217">
        <f t="shared" si="31"/>
        <v>4</v>
      </c>
      <c r="AZ119" s="217">
        <f t="shared" si="32"/>
        <v>5</v>
      </c>
      <c r="BA119" s="217">
        <f t="shared" si="33"/>
        <v>5</v>
      </c>
      <c r="BB119" s="217">
        <f t="shared" si="34"/>
        <v>5</v>
      </c>
      <c r="BC119" s="217">
        <f t="shared" si="35"/>
        <v>74</v>
      </c>
      <c r="BD119" s="217"/>
      <c r="BE119" s="217">
        <f t="shared" si="36"/>
        <v>5</v>
      </c>
      <c r="BF119" s="217">
        <f t="shared" si="37"/>
        <v>5</v>
      </c>
      <c r="BG119" s="217">
        <f t="shared" si="38"/>
        <v>5</v>
      </c>
      <c r="BH119" s="217">
        <f t="shared" si="39"/>
        <v>5</v>
      </c>
      <c r="BI119" s="217">
        <f t="shared" si="40"/>
        <v>5</v>
      </c>
      <c r="BJ119" s="217">
        <f t="shared" si="41"/>
        <v>5</v>
      </c>
      <c r="BK119" s="217">
        <f t="shared" si="42"/>
        <v>75</v>
      </c>
    </row>
    <row r="120" spans="2:63" s="372" customFormat="1" ht="30" customHeight="1" x14ac:dyDescent="0.35">
      <c r="B120" s="373" t="s">
        <v>615</v>
      </c>
      <c r="C120" s="374" t="s">
        <v>616</v>
      </c>
      <c r="D120" s="375" t="s">
        <v>618</v>
      </c>
      <c r="E120" s="375" t="s">
        <v>618</v>
      </c>
      <c r="F120" s="383">
        <f>7+28/60+12/3600</f>
        <v>7.47</v>
      </c>
      <c r="G120" s="383">
        <f>134+36/60+40/3600</f>
        <v>134.61111111111111</v>
      </c>
      <c r="H120" s="383">
        <f>7+28/60+15/3600</f>
        <v>7.4708333333333332</v>
      </c>
      <c r="I120" s="383">
        <f>134+36/60+41/3600</f>
        <v>134.61138888888888</v>
      </c>
      <c r="J120" s="375" t="s">
        <v>99</v>
      </c>
      <c r="K120" s="377">
        <v>2007</v>
      </c>
      <c r="L120" s="377" t="s">
        <v>311</v>
      </c>
      <c r="M120" s="378">
        <v>550</v>
      </c>
      <c r="N120" s="379">
        <v>6.1</v>
      </c>
      <c r="O120" s="375">
        <v>2</v>
      </c>
      <c r="P120" s="375" t="s">
        <v>83</v>
      </c>
      <c r="Q120" s="375" t="s">
        <v>275</v>
      </c>
      <c r="R120" s="375" t="s">
        <v>291</v>
      </c>
      <c r="S120" s="380" t="s">
        <v>271</v>
      </c>
      <c r="T120" s="154">
        <v>5</v>
      </c>
      <c r="U120" s="154">
        <v>5</v>
      </c>
      <c r="V120" s="154">
        <v>4</v>
      </c>
      <c r="W120" s="154">
        <v>5</v>
      </c>
      <c r="X120" s="154">
        <v>5</v>
      </c>
      <c r="Y120" s="154">
        <v>5</v>
      </c>
      <c r="Z120" s="154">
        <f t="shared" si="43"/>
        <v>99</v>
      </c>
      <c r="AA120" s="405">
        <f t="shared" si="26"/>
        <v>275000</v>
      </c>
      <c r="AB120" s="405">
        <f t="shared" si="27"/>
        <v>165000</v>
      </c>
      <c r="AC120" s="407">
        <f t="shared" si="28"/>
        <v>2500</v>
      </c>
      <c r="AD120" s="343"/>
      <c r="AE120" s="343"/>
      <c r="AF120" s="343"/>
      <c r="AG120" s="343"/>
      <c r="AH120" s="381"/>
      <c r="AI120" s="381"/>
      <c r="AJ120" s="381"/>
      <c r="AK120" s="381"/>
      <c r="AW120" s="217">
        <f t="shared" si="29"/>
        <v>5</v>
      </c>
      <c r="AX120" s="217">
        <f t="shared" si="30"/>
        <v>5</v>
      </c>
      <c r="AY120" s="217">
        <f t="shared" si="31"/>
        <v>4</v>
      </c>
      <c r="AZ120" s="217">
        <f t="shared" si="32"/>
        <v>5</v>
      </c>
      <c r="BA120" s="217">
        <f t="shared" si="33"/>
        <v>5</v>
      </c>
      <c r="BB120" s="217">
        <f t="shared" si="34"/>
        <v>5</v>
      </c>
      <c r="BC120" s="217">
        <f t="shared" si="35"/>
        <v>74</v>
      </c>
      <c r="BD120" s="217"/>
      <c r="BE120" s="217">
        <f t="shared" si="36"/>
        <v>5</v>
      </c>
      <c r="BF120" s="217">
        <f t="shared" si="37"/>
        <v>5</v>
      </c>
      <c r="BG120" s="217">
        <f t="shared" si="38"/>
        <v>5</v>
      </c>
      <c r="BH120" s="217">
        <f t="shared" si="39"/>
        <v>5</v>
      </c>
      <c r="BI120" s="217">
        <f t="shared" si="40"/>
        <v>5</v>
      </c>
      <c r="BJ120" s="217">
        <f t="shared" si="41"/>
        <v>5</v>
      </c>
      <c r="BK120" s="217">
        <f t="shared" si="42"/>
        <v>75</v>
      </c>
    </row>
    <row r="121" spans="2:63" s="372" customFormat="1" ht="30" customHeight="1" x14ac:dyDescent="0.35">
      <c r="B121" s="373" t="s">
        <v>617</v>
      </c>
      <c r="C121" s="374" t="s">
        <v>627</v>
      </c>
      <c r="D121" s="375" t="s">
        <v>618</v>
      </c>
      <c r="E121" s="375" t="s">
        <v>618</v>
      </c>
      <c r="F121" s="383">
        <f>7+28/60+15/3600</f>
        <v>7.4708333333333332</v>
      </c>
      <c r="G121" s="383">
        <f>134+36/60+41/3600</f>
        <v>134.61138888888888</v>
      </c>
      <c r="H121" s="383">
        <f>7+28/60+4/3600</f>
        <v>7.4677777777777781</v>
      </c>
      <c r="I121" s="383">
        <f>134+36/60+32/3600</f>
        <v>134.60888888888888</v>
      </c>
      <c r="J121" s="375" t="s">
        <v>99</v>
      </c>
      <c r="K121" s="377">
        <v>2010</v>
      </c>
      <c r="L121" s="377" t="s">
        <v>311</v>
      </c>
      <c r="M121" s="378">
        <v>485</v>
      </c>
      <c r="N121" s="379">
        <v>6.1</v>
      </c>
      <c r="O121" s="375">
        <v>2</v>
      </c>
      <c r="P121" s="375" t="s">
        <v>83</v>
      </c>
      <c r="Q121" s="375" t="s">
        <v>275</v>
      </c>
      <c r="R121" s="375" t="s">
        <v>291</v>
      </c>
      <c r="S121" s="380" t="s">
        <v>271</v>
      </c>
      <c r="T121" s="154">
        <v>5</v>
      </c>
      <c r="U121" s="154">
        <v>5</v>
      </c>
      <c r="V121" s="154">
        <v>4</v>
      </c>
      <c r="W121" s="154">
        <v>5</v>
      </c>
      <c r="X121" s="154">
        <v>5</v>
      </c>
      <c r="Y121" s="154">
        <v>5</v>
      </c>
      <c r="Z121" s="154">
        <f t="shared" si="43"/>
        <v>99</v>
      </c>
      <c r="AA121" s="405">
        <f t="shared" si="26"/>
        <v>242500</v>
      </c>
      <c r="AB121" s="405">
        <f t="shared" si="27"/>
        <v>145500</v>
      </c>
      <c r="AC121" s="407">
        <f t="shared" si="28"/>
        <v>2200</v>
      </c>
      <c r="AD121" s="343"/>
      <c r="AE121" s="343"/>
      <c r="AF121" s="343"/>
      <c r="AG121" s="343"/>
      <c r="AH121" s="381"/>
      <c r="AI121" s="381"/>
      <c r="AJ121" s="381"/>
      <c r="AK121" s="381"/>
      <c r="AW121" s="217">
        <f t="shared" si="29"/>
        <v>5</v>
      </c>
      <c r="AX121" s="217">
        <f t="shared" si="30"/>
        <v>5</v>
      </c>
      <c r="AY121" s="217">
        <f t="shared" si="31"/>
        <v>4</v>
      </c>
      <c r="AZ121" s="217">
        <f t="shared" si="32"/>
        <v>5</v>
      </c>
      <c r="BA121" s="217">
        <f t="shared" si="33"/>
        <v>5</v>
      </c>
      <c r="BB121" s="217">
        <f t="shared" si="34"/>
        <v>5</v>
      </c>
      <c r="BC121" s="217">
        <f t="shared" si="35"/>
        <v>74</v>
      </c>
      <c r="BD121" s="217"/>
      <c r="BE121" s="217">
        <f t="shared" si="36"/>
        <v>5</v>
      </c>
      <c r="BF121" s="217">
        <f t="shared" si="37"/>
        <v>5</v>
      </c>
      <c r="BG121" s="217">
        <f t="shared" si="38"/>
        <v>5</v>
      </c>
      <c r="BH121" s="217">
        <f t="shared" si="39"/>
        <v>5</v>
      </c>
      <c r="BI121" s="217">
        <f t="shared" si="40"/>
        <v>5</v>
      </c>
      <c r="BJ121" s="217">
        <f t="shared" si="41"/>
        <v>5</v>
      </c>
      <c r="BK121" s="217">
        <f t="shared" si="42"/>
        <v>75</v>
      </c>
    </row>
    <row r="122" spans="2:63" s="372" customFormat="1" ht="30" customHeight="1" x14ac:dyDescent="0.35">
      <c r="B122" s="373" t="s">
        <v>619</v>
      </c>
      <c r="C122" s="374" t="s">
        <v>622</v>
      </c>
      <c r="D122" s="375" t="s">
        <v>618</v>
      </c>
      <c r="E122" s="375" t="s">
        <v>623</v>
      </c>
      <c r="F122" s="383">
        <f>7+28/60+4/3600</f>
        <v>7.4677777777777781</v>
      </c>
      <c r="G122" s="383">
        <f>134+36/60+32/3600</f>
        <v>134.60888888888888</v>
      </c>
      <c r="H122" s="383">
        <f>7+27/60+11/3600</f>
        <v>7.4530555555555553</v>
      </c>
      <c r="I122" s="383">
        <f>134+36/60+15/3600</f>
        <v>134.60416666666666</v>
      </c>
      <c r="J122" s="375" t="s">
        <v>99</v>
      </c>
      <c r="K122" s="377" t="s">
        <v>421</v>
      </c>
      <c r="L122" s="377" t="s">
        <v>311</v>
      </c>
      <c r="M122" s="378">
        <v>2350</v>
      </c>
      <c r="N122" s="379">
        <v>6.1</v>
      </c>
      <c r="O122" s="375">
        <v>2</v>
      </c>
      <c r="P122" s="375" t="s">
        <v>83</v>
      </c>
      <c r="Q122" s="375" t="s">
        <v>503</v>
      </c>
      <c r="R122" s="375" t="s">
        <v>92</v>
      </c>
      <c r="S122" s="380" t="s">
        <v>92</v>
      </c>
      <c r="T122" s="154">
        <v>4</v>
      </c>
      <c r="U122" s="154">
        <v>2</v>
      </c>
      <c r="V122" s="154">
        <v>1</v>
      </c>
      <c r="W122" s="154">
        <v>2</v>
      </c>
      <c r="X122" s="154" t="s">
        <v>311</v>
      </c>
      <c r="Y122" s="154">
        <v>2</v>
      </c>
      <c r="Z122" s="154">
        <f t="shared" si="43"/>
        <v>50</v>
      </c>
      <c r="AA122" s="405">
        <f t="shared" si="26"/>
        <v>1175000</v>
      </c>
      <c r="AB122" s="405">
        <f t="shared" si="27"/>
        <v>705000</v>
      </c>
      <c r="AC122" s="407">
        <f t="shared" si="28"/>
        <v>10600</v>
      </c>
      <c r="AD122" s="343"/>
      <c r="AE122" s="343"/>
      <c r="AF122" s="343"/>
      <c r="AG122" s="343"/>
      <c r="AH122" s="381"/>
      <c r="AI122" s="381">
        <f t="shared" si="44"/>
        <v>705000</v>
      </c>
      <c r="AJ122" s="381">
        <f t="shared" si="45"/>
        <v>235000</v>
      </c>
      <c r="AK122" s="381"/>
      <c r="AW122" s="217">
        <f t="shared" si="29"/>
        <v>4</v>
      </c>
      <c r="AX122" s="217">
        <f t="shared" si="30"/>
        <v>2</v>
      </c>
      <c r="AY122" s="217">
        <f t="shared" si="31"/>
        <v>1</v>
      </c>
      <c r="AZ122" s="217">
        <f t="shared" si="32"/>
        <v>2</v>
      </c>
      <c r="BA122" s="217">
        <f t="shared" si="33"/>
        <v>0</v>
      </c>
      <c r="BB122" s="217">
        <f t="shared" si="34"/>
        <v>2</v>
      </c>
      <c r="BC122" s="217">
        <f t="shared" si="35"/>
        <v>35</v>
      </c>
      <c r="BD122" s="217"/>
      <c r="BE122" s="217">
        <f t="shared" si="36"/>
        <v>5</v>
      </c>
      <c r="BF122" s="217">
        <f t="shared" si="37"/>
        <v>5</v>
      </c>
      <c r="BG122" s="217">
        <f t="shared" si="38"/>
        <v>5</v>
      </c>
      <c r="BH122" s="217">
        <f t="shared" si="39"/>
        <v>5</v>
      </c>
      <c r="BI122" s="217">
        <f t="shared" si="40"/>
        <v>0</v>
      </c>
      <c r="BJ122" s="217">
        <f t="shared" si="41"/>
        <v>5</v>
      </c>
      <c r="BK122" s="217">
        <f t="shared" si="42"/>
        <v>70</v>
      </c>
    </row>
    <row r="123" spans="2:63" s="372" customFormat="1" ht="30" customHeight="1" x14ac:dyDescent="0.35">
      <c r="B123" s="373" t="s">
        <v>621</v>
      </c>
      <c r="C123" s="374" t="s">
        <v>625</v>
      </c>
      <c r="D123" s="375" t="s">
        <v>626</v>
      </c>
      <c r="E123" s="375" t="s">
        <v>623</v>
      </c>
      <c r="F123" s="383">
        <f>7+28/60+4/3600</f>
        <v>7.4677777777777781</v>
      </c>
      <c r="G123" s="383">
        <f>134+36/60+32/3600</f>
        <v>134.60888888888888</v>
      </c>
      <c r="H123" s="383">
        <f>7+26/60+3/3600</f>
        <v>7.434166666666667</v>
      </c>
      <c r="I123" s="383">
        <f>134+35/60+42/3600</f>
        <v>134.595</v>
      </c>
      <c r="J123" s="375" t="s">
        <v>99</v>
      </c>
      <c r="K123" s="377" t="s">
        <v>421</v>
      </c>
      <c r="L123" s="377" t="s">
        <v>311</v>
      </c>
      <c r="M123" s="378">
        <v>2355</v>
      </c>
      <c r="N123" s="379">
        <v>6.1</v>
      </c>
      <c r="O123" s="375">
        <v>2</v>
      </c>
      <c r="P123" s="375" t="s">
        <v>272</v>
      </c>
      <c r="Q123" s="375" t="s">
        <v>503</v>
      </c>
      <c r="R123" s="375" t="s">
        <v>92</v>
      </c>
      <c r="S123" s="380" t="s">
        <v>92</v>
      </c>
      <c r="T123" s="154">
        <v>3</v>
      </c>
      <c r="U123" s="154">
        <v>2</v>
      </c>
      <c r="V123" s="154">
        <v>1</v>
      </c>
      <c r="W123" s="154">
        <v>2</v>
      </c>
      <c r="X123" s="154" t="s">
        <v>311</v>
      </c>
      <c r="Y123" s="154">
        <v>2</v>
      </c>
      <c r="Z123" s="154">
        <f t="shared" si="43"/>
        <v>45</v>
      </c>
      <c r="AA123" s="405">
        <f t="shared" si="26"/>
        <v>1177500</v>
      </c>
      <c r="AB123" s="405">
        <f t="shared" si="27"/>
        <v>706500</v>
      </c>
      <c r="AC123" s="407">
        <f t="shared" si="28"/>
        <v>10600</v>
      </c>
      <c r="AD123" s="343"/>
      <c r="AE123" s="343"/>
      <c r="AF123" s="343"/>
      <c r="AG123" s="343"/>
      <c r="AH123" s="381"/>
      <c r="AI123" s="381">
        <f t="shared" si="44"/>
        <v>706500</v>
      </c>
      <c r="AJ123" s="381">
        <f t="shared" si="45"/>
        <v>235500</v>
      </c>
      <c r="AK123" s="381"/>
      <c r="AW123" s="217">
        <f t="shared" si="29"/>
        <v>3</v>
      </c>
      <c r="AX123" s="217">
        <f t="shared" si="30"/>
        <v>2</v>
      </c>
      <c r="AY123" s="217">
        <f t="shared" si="31"/>
        <v>1</v>
      </c>
      <c r="AZ123" s="217">
        <f t="shared" si="32"/>
        <v>2</v>
      </c>
      <c r="BA123" s="217">
        <f t="shared" si="33"/>
        <v>0</v>
      </c>
      <c r="BB123" s="217">
        <f t="shared" si="34"/>
        <v>2</v>
      </c>
      <c r="BC123" s="217">
        <f t="shared" si="35"/>
        <v>31</v>
      </c>
      <c r="BD123" s="217"/>
      <c r="BE123" s="217">
        <f t="shared" si="36"/>
        <v>5</v>
      </c>
      <c r="BF123" s="217">
        <f t="shared" si="37"/>
        <v>5</v>
      </c>
      <c r="BG123" s="217">
        <f t="shared" si="38"/>
        <v>5</v>
      </c>
      <c r="BH123" s="217">
        <f t="shared" si="39"/>
        <v>5</v>
      </c>
      <c r="BI123" s="217">
        <f t="shared" si="40"/>
        <v>0</v>
      </c>
      <c r="BJ123" s="217">
        <f t="shared" si="41"/>
        <v>5</v>
      </c>
      <c r="BK123" s="217">
        <f t="shared" si="42"/>
        <v>70</v>
      </c>
    </row>
    <row r="124" spans="2:63" s="372" customFormat="1" ht="30" customHeight="1" x14ac:dyDescent="0.35">
      <c r="B124" s="373" t="s">
        <v>624</v>
      </c>
      <c r="C124" s="374" t="s">
        <v>630</v>
      </c>
      <c r="D124" s="375" t="s">
        <v>631</v>
      </c>
      <c r="E124" s="375" t="s">
        <v>631</v>
      </c>
      <c r="F124" s="388">
        <f>7+26/60+30/3600</f>
        <v>7.4416666666666673</v>
      </c>
      <c r="G124" s="388">
        <f>134+35/60+40/3600</f>
        <v>134.59444444444446</v>
      </c>
      <c r="H124" s="388">
        <f>7+26/60+26/3600</f>
        <v>7.440555555555556</v>
      </c>
      <c r="I124" s="388">
        <f>134+35/60+36/3600</f>
        <v>134.59333333333333</v>
      </c>
      <c r="J124" s="375" t="s">
        <v>277</v>
      </c>
      <c r="K124" s="377" t="s">
        <v>421</v>
      </c>
      <c r="L124" s="377" t="s">
        <v>311</v>
      </c>
      <c r="M124" s="378">
        <v>275</v>
      </c>
      <c r="N124" s="379">
        <v>6.1</v>
      </c>
      <c r="O124" s="375">
        <v>2</v>
      </c>
      <c r="P124" s="375" t="s">
        <v>272</v>
      </c>
      <c r="Q124" s="375" t="s">
        <v>503</v>
      </c>
      <c r="R124" s="375" t="s">
        <v>92</v>
      </c>
      <c r="S124" s="380" t="s">
        <v>92</v>
      </c>
      <c r="T124" s="154">
        <v>2</v>
      </c>
      <c r="U124" s="154">
        <v>2</v>
      </c>
      <c r="V124" s="154">
        <v>1</v>
      </c>
      <c r="W124" s="154">
        <v>2</v>
      </c>
      <c r="X124" s="154" t="s">
        <v>311</v>
      </c>
      <c r="Y124" s="154">
        <v>2</v>
      </c>
      <c r="Z124" s="154">
        <f t="shared" si="43"/>
        <v>39</v>
      </c>
      <c r="AA124" s="405">
        <f t="shared" si="26"/>
        <v>137500</v>
      </c>
      <c r="AB124" s="405">
        <f t="shared" si="27"/>
        <v>82500</v>
      </c>
      <c r="AC124" s="407">
        <f t="shared" si="28"/>
        <v>1200</v>
      </c>
      <c r="AD124" s="343"/>
      <c r="AE124" s="343"/>
      <c r="AF124" s="343"/>
      <c r="AG124" s="343"/>
      <c r="AH124" s="381">
        <f t="shared" si="46"/>
        <v>55000</v>
      </c>
      <c r="AI124" s="381">
        <f t="shared" si="44"/>
        <v>82500</v>
      </c>
      <c r="AJ124" s="381">
        <f t="shared" si="45"/>
        <v>27500</v>
      </c>
      <c r="AK124" s="381"/>
      <c r="AW124" s="217">
        <f t="shared" si="29"/>
        <v>2</v>
      </c>
      <c r="AX124" s="217">
        <f t="shared" si="30"/>
        <v>2</v>
      </c>
      <c r="AY124" s="217">
        <f t="shared" si="31"/>
        <v>1</v>
      </c>
      <c r="AZ124" s="217">
        <f t="shared" si="32"/>
        <v>2</v>
      </c>
      <c r="BA124" s="217">
        <f t="shared" si="33"/>
        <v>0</v>
      </c>
      <c r="BB124" s="217">
        <f t="shared" si="34"/>
        <v>2</v>
      </c>
      <c r="BC124" s="217">
        <f t="shared" si="35"/>
        <v>27</v>
      </c>
      <c r="BD124" s="217"/>
      <c r="BE124" s="217">
        <f t="shared" si="36"/>
        <v>5</v>
      </c>
      <c r="BF124" s="217">
        <f t="shared" si="37"/>
        <v>5</v>
      </c>
      <c r="BG124" s="217">
        <f t="shared" si="38"/>
        <v>5</v>
      </c>
      <c r="BH124" s="217">
        <f t="shared" si="39"/>
        <v>5</v>
      </c>
      <c r="BI124" s="217">
        <f t="shared" si="40"/>
        <v>0</v>
      </c>
      <c r="BJ124" s="217">
        <f t="shared" si="41"/>
        <v>5</v>
      </c>
      <c r="BK124" s="217">
        <f t="shared" si="42"/>
        <v>70</v>
      </c>
    </row>
    <row r="125" spans="2:63" s="372" customFormat="1" ht="30" customHeight="1" x14ac:dyDescent="0.35">
      <c r="B125" s="373" t="s">
        <v>629</v>
      </c>
      <c r="C125" s="374" t="s">
        <v>620</v>
      </c>
      <c r="D125" s="375" t="s">
        <v>628</v>
      </c>
      <c r="E125" s="375" t="s">
        <v>628</v>
      </c>
      <c r="F125" s="383">
        <f>7+27/60+55/3600</f>
        <v>7.4652777777777777</v>
      </c>
      <c r="G125" s="383">
        <f>134+34/60+52/3600</f>
        <v>134.58111111111111</v>
      </c>
      <c r="H125" s="383">
        <f>7+27/60+49/3600</f>
        <v>7.4636111111111116</v>
      </c>
      <c r="I125" s="383">
        <f>134+35/60+3/3600</f>
        <v>134.58416666666668</v>
      </c>
      <c r="J125" s="375" t="s">
        <v>99</v>
      </c>
      <c r="K125" s="377">
        <v>2011</v>
      </c>
      <c r="L125" s="377" t="s">
        <v>311</v>
      </c>
      <c r="M125" s="378">
        <v>395</v>
      </c>
      <c r="N125" s="379">
        <v>6.1</v>
      </c>
      <c r="O125" s="375">
        <v>2</v>
      </c>
      <c r="P125" s="375" t="s">
        <v>272</v>
      </c>
      <c r="Q125" s="375" t="s">
        <v>275</v>
      </c>
      <c r="R125" s="375" t="s">
        <v>291</v>
      </c>
      <c r="S125" s="380" t="s">
        <v>271</v>
      </c>
      <c r="T125" s="154">
        <v>5</v>
      </c>
      <c r="U125" s="154">
        <v>5</v>
      </c>
      <c r="V125" s="154">
        <v>5</v>
      </c>
      <c r="W125" s="154">
        <v>5</v>
      </c>
      <c r="X125" s="154">
        <v>5</v>
      </c>
      <c r="Y125" s="154">
        <v>5</v>
      </c>
      <c r="Z125" s="154">
        <f t="shared" si="43"/>
        <v>100</v>
      </c>
      <c r="AA125" s="405">
        <f t="shared" si="26"/>
        <v>197500</v>
      </c>
      <c r="AB125" s="405">
        <f t="shared" si="27"/>
        <v>118500</v>
      </c>
      <c r="AC125" s="407">
        <f t="shared" si="28"/>
        <v>1800</v>
      </c>
      <c r="AD125" s="343"/>
      <c r="AE125" s="343"/>
      <c r="AF125" s="343"/>
      <c r="AG125" s="343"/>
      <c r="AH125" s="381"/>
      <c r="AI125" s="381"/>
      <c r="AJ125" s="381"/>
      <c r="AK125" s="381"/>
      <c r="AW125" s="217">
        <f t="shared" si="29"/>
        <v>5</v>
      </c>
      <c r="AX125" s="217">
        <f t="shared" si="30"/>
        <v>5</v>
      </c>
      <c r="AY125" s="217">
        <f t="shared" si="31"/>
        <v>5</v>
      </c>
      <c r="AZ125" s="217">
        <f t="shared" si="32"/>
        <v>5</v>
      </c>
      <c r="BA125" s="217">
        <f t="shared" si="33"/>
        <v>5</v>
      </c>
      <c r="BB125" s="217">
        <f t="shared" si="34"/>
        <v>5</v>
      </c>
      <c r="BC125" s="217">
        <f t="shared" si="35"/>
        <v>75</v>
      </c>
      <c r="BD125" s="217"/>
      <c r="BE125" s="217">
        <f t="shared" si="36"/>
        <v>5</v>
      </c>
      <c r="BF125" s="217">
        <f t="shared" si="37"/>
        <v>5</v>
      </c>
      <c r="BG125" s="217">
        <f t="shared" si="38"/>
        <v>5</v>
      </c>
      <c r="BH125" s="217">
        <f t="shared" si="39"/>
        <v>5</v>
      </c>
      <c r="BI125" s="217">
        <f t="shared" si="40"/>
        <v>5</v>
      </c>
      <c r="BJ125" s="217">
        <f t="shared" si="41"/>
        <v>5</v>
      </c>
      <c r="BK125" s="217">
        <f t="shared" si="42"/>
        <v>75</v>
      </c>
    </row>
    <row r="126" spans="2:63" s="372" customFormat="1" ht="30" customHeight="1" x14ac:dyDescent="0.35">
      <c r="B126" s="373" t="s">
        <v>632</v>
      </c>
      <c r="C126" s="374" t="s">
        <v>633</v>
      </c>
      <c r="D126" s="375" t="s">
        <v>628</v>
      </c>
      <c r="E126" s="375" t="s">
        <v>628</v>
      </c>
      <c r="F126" s="383">
        <f>7+27/60+49/3600</f>
        <v>7.4636111111111116</v>
      </c>
      <c r="G126" s="383">
        <f>134+35/60+3/3600</f>
        <v>134.58416666666668</v>
      </c>
      <c r="H126" s="383">
        <f>7+27/60+48/3600</f>
        <v>7.4633333333333338</v>
      </c>
      <c r="I126" s="383">
        <f>134+35/60+4/3600</f>
        <v>134.58444444444444</v>
      </c>
      <c r="J126" s="375" t="s">
        <v>99</v>
      </c>
      <c r="K126" s="377">
        <v>2013</v>
      </c>
      <c r="L126" s="377" t="s">
        <v>311</v>
      </c>
      <c r="M126" s="378">
        <v>385</v>
      </c>
      <c r="N126" s="379">
        <v>6.1</v>
      </c>
      <c r="O126" s="375">
        <v>2</v>
      </c>
      <c r="P126" s="375" t="s">
        <v>272</v>
      </c>
      <c r="Q126" s="375" t="s">
        <v>275</v>
      </c>
      <c r="R126" s="375" t="s">
        <v>291</v>
      </c>
      <c r="S126" s="380" t="s">
        <v>271</v>
      </c>
      <c r="T126" s="154">
        <v>5</v>
      </c>
      <c r="U126" s="154">
        <v>5</v>
      </c>
      <c r="V126" s="154">
        <v>5</v>
      </c>
      <c r="W126" s="154">
        <v>5</v>
      </c>
      <c r="X126" s="154">
        <v>5</v>
      </c>
      <c r="Y126" s="154">
        <v>5</v>
      </c>
      <c r="Z126" s="154">
        <f t="shared" si="43"/>
        <v>100</v>
      </c>
      <c r="AA126" s="405">
        <f t="shared" si="26"/>
        <v>192500</v>
      </c>
      <c r="AB126" s="405">
        <f t="shared" si="27"/>
        <v>115500</v>
      </c>
      <c r="AC126" s="407">
        <f t="shared" si="28"/>
        <v>1700</v>
      </c>
      <c r="AD126" s="343"/>
      <c r="AE126" s="343"/>
      <c r="AF126" s="343"/>
      <c r="AG126" s="343"/>
      <c r="AH126" s="381"/>
      <c r="AI126" s="381"/>
      <c r="AJ126" s="381"/>
      <c r="AK126" s="381"/>
      <c r="AW126" s="217">
        <f t="shared" si="29"/>
        <v>5</v>
      </c>
      <c r="AX126" s="217">
        <f t="shared" si="30"/>
        <v>5</v>
      </c>
      <c r="AY126" s="217">
        <f t="shared" si="31"/>
        <v>5</v>
      </c>
      <c r="AZ126" s="217">
        <f t="shared" si="32"/>
        <v>5</v>
      </c>
      <c r="BA126" s="217">
        <f t="shared" si="33"/>
        <v>5</v>
      </c>
      <c r="BB126" s="217">
        <f t="shared" si="34"/>
        <v>5</v>
      </c>
      <c r="BC126" s="217">
        <f t="shared" si="35"/>
        <v>75</v>
      </c>
      <c r="BD126" s="217"/>
      <c r="BE126" s="217">
        <f t="shared" si="36"/>
        <v>5</v>
      </c>
      <c r="BF126" s="217">
        <f t="shared" si="37"/>
        <v>5</v>
      </c>
      <c r="BG126" s="217">
        <f t="shared" si="38"/>
        <v>5</v>
      </c>
      <c r="BH126" s="217">
        <f t="shared" si="39"/>
        <v>5</v>
      </c>
      <c r="BI126" s="217">
        <f t="shared" si="40"/>
        <v>5</v>
      </c>
      <c r="BJ126" s="217">
        <f t="shared" si="41"/>
        <v>5</v>
      </c>
      <c r="BK126" s="217">
        <f t="shared" si="42"/>
        <v>75</v>
      </c>
    </row>
    <row r="127" spans="2:63" s="372" customFormat="1" ht="30" customHeight="1" x14ac:dyDescent="0.35">
      <c r="B127" s="373" t="s">
        <v>634</v>
      </c>
      <c r="C127" s="374" t="s">
        <v>635</v>
      </c>
      <c r="D127" s="375" t="s">
        <v>628</v>
      </c>
      <c r="E127" s="375" t="s">
        <v>628</v>
      </c>
      <c r="F127" s="383">
        <f>7+27/60+48/3600</f>
        <v>7.4633333333333338</v>
      </c>
      <c r="G127" s="383">
        <f>134+35/60+4/3600</f>
        <v>134.58444444444444</v>
      </c>
      <c r="H127" s="383">
        <f>7+27/60+53/3600</f>
        <v>7.464722222222222</v>
      </c>
      <c r="I127" s="383">
        <f>134+35/60+20/3600</f>
        <v>134.5888888888889</v>
      </c>
      <c r="J127" s="375" t="s">
        <v>99</v>
      </c>
      <c r="K127" s="377">
        <v>2015</v>
      </c>
      <c r="L127" s="377" t="s">
        <v>311</v>
      </c>
      <c r="M127" s="378">
        <v>280</v>
      </c>
      <c r="N127" s="379">
        <v>6.1</v>
      </c>
      <c r="O127" s="375">
        <v>2</v>
      </c>
      <c r="P127" s="375" t="s">
        <v>272</v>
      </c>
      <c r="Q127" s="375" t="s">
        <v>275</v>
      </c>
      <c r="R127" s="375" t="s">
        <v>291</v>
      </c>
      <c r="S127" s="380" t="s">
        <v>271</v>
      </c>
      <c r="T127" s="154">
        <v>5</v>
      </c>
      <c r="U127" s="154">
        <v>5</v>
      </c>
      <c r="V127" s="154">
        <v>5</v>
      </c>
      <c r="W127" s="154">
        <v>5</v>
      </c>
      <c r="X127" s="154">
        <v>5</v>
      </c>
      <c r="Y127" s="154">
        <v>5</v>
      </c>
      <c r="Z127" s="154">
        <f t="shared" si="43"/>
        <v>100</v>
      </c>
      <c r="AA127" s="405">
        <f t="shared" si="26"/>
        <v>140000</v>
      </c>
      <c r="AB127" s="405">
        <f t="shared" si="27"/>
        <v>84000</v>
      </c>
      <c r="AC127" s="407">
        <f t="shared" si="28"/>
        <v>1300</v>
      </c>
      <c r="AD127" s="343"/>
      <c r="AE127" s="343"/>
      <c r="AF127" s="343"/>
      <c r="AG127" s="343"/>
      <c r="AH127" s="381"/>
      <c r="AI127" s="381"/>
      <c r="AJ127" s="381"/>
      <c r="AK127" s="381"/>
      <c r="AW127" s="217">
        <f t="shared" si="29"/>
        <v>5</v>
      </c>
      <c r="AX127" s="217">
        <f t="shared" si="30"/>
        <v>5</v>
      </c>
      <c r="AY127" s="217">
        <f t="shared" si="31"/>
        <v>5</v>
      </c>
      <c r="AZ127" s="217">
        <f t="shared" si="32"/>
        <v>5</v>
      </c>
      <c r="BA127" s="217">
        <f t="shared" si="33"/>
        <v>5</v>
      </c>
      <c r="BB127" s="217">
        <f t="shared" si="34"/>
        <v>5</v>
      </c>
      <c r="BC127" s="217">
        <f t="shared" si="35"/>
        <v>75</v>
      </c>
      <c r="BD127" s="217"/>
      <c r="BE127" s="217">
        <f t="shared" si="36"/>
        <v>5</v>
      </c>
      <c r="BF127" s="217">
        <f t="shared" si="37"/>
        <v>5</v>
      </c>
      <c r="BG127" s="217">
        <f t="shared" si="38"/>
        <v>5</v>
      </c>
      <c r="BH127" s="217">
        <f t="shared" si="39"/>
        <v>5</v>
      </c>
      <c r="BI127" s="217">
        <f t="shared" si="40"/>
        <v>5</v>
      </c>
      <c r="BJ127" s="217">
        <f t="shared" si="41"/>
        <v>5</v>
      </c>
      <c r="BK127" s="217">
        <f t="shared" si="42"/>
        <v>75</v>
      </c>
    </row>
    <row r="128" spans="2:63" s="372" customFormat="1" ht="30" customHeight="1" x14ac:dyDescent="0.35">
      <c r="B128" s="373" t="s">
        <v>636</v>
      </c>
      <c r="C128" s="374" t="s">
        <v>638</v>
      </c>
      <c r="D128" s="375" t="s">
        <v>628</v>
      </c>
      <c r="E128" s="375" t="s">
        <v>628</v>
      </c>
      <c r="F128" s="383">
        <f>7+27/60+53/3600</f>
        <v>7.464722222222222</v>
      </c>
      <c r="G128" s="383">
        <f>134+35/60+20/3600</f>
        <v>134.5888888888889</v>
      </c>
      <c r="H128" s="383">
        <f>7+27/60+53/3600</f>
        <v>7.464722222222222</v>
      </c>
      <c r="I128" s="383">
        <f>134+35/60+27/3600</f>
        <v>134.59083333333334</v>
      </c>
      <c r="J128" s="375" t="s">
        <v>99</v>
      </c>
      <c r="K128" s="377">
        <v>2016</v>
      </c>
      <c r="L128" s="377" t="s">
        <v>311</v>
      </c>
      <c r="M128" s="378">
        <v>200</v>
      </c>
      <c r="N128" s="379">
        <v>6.1</v>
      </c>
      <c r="O128" s="375">
        <v>2</v>
      </c>
      <c r="P128" s="375" t="s">
        <v>272</v>
      </c>
      <c r="Q128" s="375" t="s">
        <v>275</v>
      </c>
      <c r="R128" s="375" t="s">
        <v>291</v>
      </c>
      <c r="S128" s="380" t="s">
        <v>271</v>
      </c>
      <c r="T128" s="154">
        <v>5</v>
      </c>
      <c r="U128" s="154">
        <v>5</v>
      </c>
      <c r="V128" s="154">
        <v>5</v>
      </c>
      <c r="W128" s="154">
        <v>5</v>
      </c>
      <c r="X128" s="154">
        <v>5</v>
      </c>
      <c r="Y128" s="154">
        <v>5</v>
      </c>
      <c r="Z128" s="154">
        <f t="shared" si="43"/>
        <v>100</v>
      </c>
      <c r="AA128" s="405">
        <f t="shared" si="26"/>
        <v>100000</v>
      </c>
      <c r="AB128" s="405">
        <f t="shared" si="27"/>
        <v>60000</v>
      </c>
      <c r="AC128" s="407">
        <f t="shared" si="28"/>
        <v>900</v>
      </c>
      <c r="AD128" s="343"/>
      <c r="AE128" s="343"/>
      <c r="AF128" s="343"/>
      <c r="AG128" s="343"/>
      <c r="AH128" s="381"/>
      <c r="AI128" s="381"/>
      <c r="AJ128" s="381"/>
      <c r="AK128" s="381"/>
      <c r="AW128" s="217">
        <f t="shared" si="29"/>
        <v>5</v>
      </c>
      <c r="AX128" s="217">
        <f t="shared" si="30"/>
        <v>5</v>
      </c>
      <c r="AY128" s="217">
        <f t="shared" si="31"/>
        <v>5</v>
      </c>
      <c r="AZ128" s="217">
        <f t="shared" si="32"/>
        <v>5</v>
      </c>
      <c r="BA128" s="217">
        <f t="shared" si="33"/>
        <v>5</v>
      </c>
      <c r="BB128" s="217">
        <f t="shared" si="34"/>
        <v>5</v>
      </c>
      <c r="BC128" s="217">
        <f t="shared" si="35"/>
        <v>75</v>
      </c>
      <c r="BD128" s="217"/>
      <c r="BE128" s="217">
        <f t="shared" si="36"/>
        <v>5</v>
      </c>
      <c r="BF128" s="217">
        <f t="shared" si="37"/>
        <v>5</v>
      </c>
      <c r="BG128" s="217">
        <f t="shared" si="38"/>
        <v>5</v>
      </c>
      <c r="BH128" s="217">
        <f t="shared" si="39"/>
        <v>5</v>
      </c>
      <c r="BI128" s="217">
        <f t="shared" si="40"/>
        <v>5</v>
      </c>
      <c r="BJ128" s="217">
        <f t="shared" si="41"/>
        <v>5</v>
      </c>
      <c r="BK128" s="217">
        <f t="shared" si="42"/>
        <v>75</v>
      </c>
    </row>
    <row r="129" spans="2:63" s="372" customFormat="1" ht="30" customHeight="1" x14ac:dyDescent="0.35">
      <c r="B129" s="373" t="s">
        <v>639</v>
      </c>
      <c r="C129" s="374" t="s">
        <v>637</v>
      </c>
      <c r="D129" s="375" t="s">
        <v>628</v>
      </c>
      <c r="E129" s="375" t="s">
        <v>628</v>
      </c>
      <c r="F129" s="383">
        <f>7+27/60+53/3600</f>
        <v>7.464722222222222</v>
      </c>
      <c r="G129" s="383">
        <f>134+35/60+27/3600</f>
        <v>134.59083333333334</v>
      </c>
      <c r="H129" s="383">
        <f>7+27/60+51/3600</f>
        <v>7.4641666666666673</v>
      </c>
      <c r="I129" s="383">
        <f>134+35/60+40/3600</f>
        <v>134.59444444444446</v>
      </c>
      <c r="J129" s="375" t="s">
        <v>99</v>
      </c>
      <c r="K129" s="377">
        <v>2017</v>
      </c>
      <c r="L129" s="377" t="s">
        <v>311</v>
      </c>
      <c r="M129" s="378">
        <v>310</v>
      </c>
      <c r="N129" s="379">
        <v>6.1</v>
      </c>
      <c r="O129" s="375">
        <v>2</v>
      </c>
      <c r="P129" s="375" t="s">
        <v>272</v>
      </c>
      <c r="Q129" s="375" t="s">
        <v>275</v>
      </c>
      <c r="R129" s="375" t="s">
        <v>291</v>
      </c>
      <c r="S129" s="380" t="s">
        <v>271</v>
      </c>
      <c r="T129" s="154">
        <v>5</v>
      </c>
      <c r="U129" s="154">
        <v>5</v>
      </c>
      <c r="V129" s="154">
        <v>5</v>
      </c>
      <c r="W129" s="154">
        <v>5</v>
      </c>
      <c r="X129" s="154">
        <v>5</v>
      </c>
      <c r="Y129" s="154">
        <v>5</v>
      </c>
      <c r="Z129" s="154">
        <f t="shared" si="43"/>
        <v>100</v>
      </c>
      <c r="AA129" s="405">
        <f t="shared" si="26"/>
        <v>155000</v>
      </c>
      <c r="AB129" s="405">
        <f t="shared" si="27"/>
        <v>93000</v>
      </c>
      <c r="AC129" s="407">
        <f t="shared" si="28"/>
        <v>1400</v>
      </c>
      <c r="AD129" s="343"/>
      <c r="AE129" s="343"/>
      <c r="AF129" s="343"/>
      <c r="AG129" s="343"/>
      <c r="AH129" s="381"/>
      <c r="AI129" s="381"/>
      <c r="AJ129" s="381"/>
      <c r="AK129" s="381"/>
      <c r="AW129" s="217">
        <f t="shared" si="29"/>
        <v>5</v>
      </c>
      <c r="AX129" s="217">
        <f t="shared" si="30"/>
        <v>5</v>
      </c>
      <c r="AY129" s="217">
        <f t="shared" si="31"/>
        <v>5</v>
      </c>
      <c r="AZ129" s="217">
        <f t="shared" si="32"/>
        <v>5</v>
      </c>
      <c r="BA129" s="217">
        <f t="shared" si="33"/>
        <v>5</v>
      </c>
      <c r="BB129" s="217">
        <f t="shared" si="34"/>
        <v>5</v>
      </c>
      <c r="BC129" s="217">
        <f t="shared" si="35"/>
        <v>75</v>
      </c>
      <c r="BD129" s="217"/>
      <c r="BE129" s="217">
        <f t="shared" si="36"/>
        <v>5</v>
      </c>
      <c r="BF129" s="217">
        <f t="shared" si="37"/>
        <v>5</v>
      </c>
      <c r="BG129" s="217">
        <f t="shared" si="38"/>
        <v>5</v>
      </c>
      <c r="BH129" s="217">
        <f t="shared" si="39"/>
        <v>5</v>
      </c>
      <c r="BI129" s="217">
        <f t="shared" si="40"/>
        <v>5</v>
      </c>
      <c r="BJ129" s="217">
        <f t="shared" si="41"/>
        <v>5</v>
      </c>
      <c r="BK129" s="217">
        <f t="shared" si="42"/>
        <v>75</v>
      </c>
    </row>
    <row r="130" spans="2:63" s="372" customFormat="1" ht="30" customHeight="1" x14ac:dyDescent="0.35">
      <c r="B130" s="373" t="s">
        <v>640</v>
      </c>
      <c r="C130" s="374" t="s">
        <v>641</v>
      </c>
      <c r="D130" s="375" t="s">
        <v>628</v>
      </c>
      <c r="E130" s="375" t="s">
        <v>642</v>
      </c>
      <c r="F130" s="383">
        <f>7+27/60+51/3600</f>
        <v>7.4641666666666673</v>
      </c>
      <c r="G130" s="383">
        <f>134+35/60+40/3600</f>
        <v>134.59444444444446</v>
      </c>
      <c r="H130" s="383">
        <f>7+27/60+3/3600</f>
        <v>7.4508333333333336</v>
      </c>
      <c r="I130" s="383">
        <f>134+36/60+32/3600</f>
        <v>134.60888888888888</v>
      </c>
      <c r="J130" s="375" t="s">
        <v>99</v>
      </c>
      <c r="K130" s="386">
        <v>2001</v>
      </c>
      <c r="L130" s="377" t="s">
        <v>311</v>
      </c>
      <c r="M130" s="378">
        <v>2675</v>
      </c>
      <c r="N130" s="379">
        <v>6.1</v>
      </c>
      <c r="O130" s="375">
        <v>2</v>
      </c>
      <c r="P130" s="375" t="s">
        <v>272</v>
      </c>
      <c r="Q130" s="375" t="s">
        <v>503</v>
      </c>
      <c r="R130" s="375" t="s">
        <v>92</v>
      </c>
      <c r="S130" s="380" t="s">
        <v>92</v>
      </c>
      <c r="T130" s="154">
        <v>3</v>
      </c>
      <c r="U130" s="154">
        <v>2</v>
      </c>
      <c r="V130" s="154">
        <v>1</v>
      </c>
      <c r="W130" s="154">
        <v>2</v>
      </c>
      <c r="X130" s="154" t="s">
        <v>311</v>
      </c>
      <c r="Y130" s="154">
        <v>2</v>
      </c>
      <c r="Z130" s="154">
        <f t="shared" si="43"/>
        <v>45</v>
      </c>
      <c r="AA130" s="405">
        <f t="shared" si="26"/>
        <v>1337500</v>
      </c>
      <c r="AB130" s="405">
        <f t="shared" si="27"/>
        <v>802500</v>
      </c>
      <c r="AC130" s="407">
        <f t="shared" si="28"/>
        <v>12000</v>
      </c>
      <c r="AD130" s="343"/>
      <c r="AE130" s="343"/>
      <c r="AF130" s="343"/>
      <c r="AG130" s="343"/>
      <c r="AH130" s="381"/>
      <c r="AI130" s="381">
        <f t="shared" si="44"/>
        <v>802500</v>
      </c>
      <c r="AJ130" s="381">
        <f t="shared" si="45"/>
        <v>267500</v>
      </c>
      <c r="AK130" s="381"/>
      <c r="AW130" s="217">
        <f t="shared" si="29"/>
        <v>3</v>
      </c>
      <c r="AX130" s="217">
        <f t="shared" si="30"/>
        <v>2</v>
      </c>
      <c r="AY130" s="217">
        <f t="shared" si="31"/>
        <v>1</v>
      </c>
      <c r="AZ130" s="217">
        <f t="shared" si="32"/>
        <v>2</v>
      </c>
      <c r="BA130" s="217">
        <f t="shared" si="33"/>
        <v>0</v>
      </c>
      <c r="BB130" s="217">
        <f t="shared" si="34"/>
        <v>2</v>
      </c>
      <c r="BC130" s="217">
        <f t="shared" si="35"/>
        <v>31</v>
      </c>
      <c r="BD130" s="217"/>
      <c r="BE130" s="217">
        <f t="shared" si="36"/>
        <v>5</v>
      </c>
      <c r="BF130" s="217">
        <f t="shared" si="37"/>
        <v>5</v>
      </c>
      <c r="BG130" s="217">
        <f t="shared" si="38"/>
        <v>5</v>
      </c>
      <c r="BH130" s="217">
        <f t="shared" si="39"/>
        <v>5</v>
      </c>
      <c r="BI130" s="217">
        <f t="shared" si="40"/>
        <v>0</v>
      </c>
      <c r="BJ130" s="217">
        <f t="shared" si="41"/>
        <v>5</v>
      </c>
      <c r="BK130" s="217">
        <f t="shared" si="42"/>
        <v>70</v>
      </c>
    </row>
    <row r="131" spans="2:63" s="372" customFormat="1" ht="30" customHeight="1" x14ac:dyDescent="0.35">
      <c r="B131" s="373" t="s">
        <v>643</v>
      </c>
      <c r="C131" s="374" t="s">
        <v>644</v>
      </c>
      <c r="D131" s="375" t="s">
        <v>628</v>
      </c>
      <c r="E131" s="375" t="s">
        <v>628</v>
      </c>
      <c r="F131" s="383">
        <f>7+27/60+54/3600</f>
        <v>7.4649999999999999</v>
      </c>
      <c r="G131" s="383">
        <f>134+34/60+37/3600</f>
        <v>134.57694444444445</v>
      </c>
      <c r="H131" s="383">
        <f>7+27/60+56/3600</f>
        <v>7.4655555555555555</v>
      </c>
      <c r="I131" s="383">
        <f>134+34/60+7/3600</f>
        <v>134.5686111111111</v>
      </c>
      <c r="J131" s="375" t="s">
        <v>99</v>
      </c>
      <c r="K131" s="377">
        <v>2011</v>
      </c>
      <c r="L131" s="377" t="s">
        <v>311</v>
      </c>
      <c r="M131" s="378">
        <v>1050</v>
      </c>
      <c r="N131" s="379">
        <v>7.3</v>
      </c>
      <c r="O131" s="375">
        <v>2</v>
      </c>
      <c r="P131" s="375" t="s">
        <v>272</v>
      </c>
      <c r="Q131" s="375" t="s">
        <v>275</v>
      </c>
      <c r="R131" s="375" t="s">
        <v>291</v>
      </c>
      <c r="S131" s="380" t="s">
        <v>271</v>
      </c>
      <c r="T131" s="154">
        <v>4</v>
      </c>
      <c r="U131" s="154">
        <v>5</v>
      </c>
      <c r="V131" s="154">
        <v>5</v>
      </c>
      <c r="W131" s="154">
        <v>5</v>
      </c>
      <c r="X131" s="154">
        <v>5</v>
      </c>
      <c r="Y131" s="154">
        <v>5</v>
      </c>
      <c r="Z131" s="154">
        <f t="shared" si="43"/>
        <v>95</v>
      </c>
      <c r="AA131" s="405">
        <f t="shared" si="26"/>
        <v>525000</v>
      </c>
      <c r="AB131" s="405">
        <f t="shared" si="27"/>
        <v>315000</v>
      </c>
      <c r="AC131" s="407">
        <f t="shared" si="28"/>
        <v>4700</v>
      </c>
      <c r="AD131" s="343"/>
      <c r="AE131" s="343"/>
      <c r="AF131" s="343"/>
      <c r="AG131" s="343"/>
      <c r="AH131" s="381"/>
      <c r="AI131" s="381"/>
      <c r="AJ131" s="381"/>
      <c r="AK131" s="381"/>
      <c r="AW131" s="217">
        <f t="shared" si="29"/>
        <v>4</v>
      </c>
      <c r="AX131" s="217">
        <f t="shared" si="30"/>
        <v>5</v>
      </c>
      <c r="AY131" s="217">
        <f t="shared" si="31"/>
        <v>5</v>
      </c>
      <c r="AZ131" s="217">
        <f t="shared" si="32"/>
        <v>5</v>
      </c>
      <c r="BA131" s="217">
        <f t="shared" si="33"/>
        <v>5</v>
      </c>
      <c r="BB131" s="217">
        <f t="shared" si="34"/>
        <v>5</v>
      </c>
      <c r="BC131" s="217">
        <f t="shared" si="35"/>
        <v>71</v>
      </c>
      <c r="BD131" s="217"/>
      <c r="BE131" s="217">
        <f t="shared" si="36"/>
        <v>5</v>
      </c>
      <c r="BF131" s="217">
        <f t="shared" si="37"/>
        <v>5</v>
      </c>
      <c r="BG131" s="217">
        <f t="shared" si="38"/>
        <v>5</v>
      </c>
      <c r="BH131" s="217">
        <f t="shared" si="39"/>
        <v>5</v>
      </c>
      <c r="BI131" s="217">
        <f t="shared" si="40"/>
        <v>5</v>
      </c>
      <c r="BJ131" s="217">
        <f t="shared" si="41"/>
        <v>5</v>
      </c>
      <c r="BK131" s="217">
        <f t="shared" si="42"/>
        <v>75</v>
      </c>
    </row>
    <row r="132" spans="2:63" s="372" customFormat="1" ht="30" customHeight="1" x14ac:dyDescent="0.35">
      <c r="B132" s="373" t="s">
        <v>645</v>
      </c>
      <c r="C132" s="374" t="s">
        <v>647</v>
      </c>
      <c r="D132" s="375" t="s">
        <v>628</v>
      </c>
      <c r="E132" s="375" t="s">
        <v>628</v>
      </c>
      <c r="F132" s="383">
        <f>7+27/60+56/3600</f>
        <v>7.4655555555555555</v>
      </c>
      <c r="G132" s="383">
        <f>134+34/60+7/3600</f>
        <v>134.5686111111111</v>
      </c>
      <c r="H132" s="383">
        <f>7+27/60+43/3600</f>
        <v>7.4619444444444447</v>
      </c>
      <c r="I132" s="383">
        <f>134+33/60+27/3600</f>
        <v>134.5575</v>
      </c>
      <c r="J132" s="375" t="s">
        <v>99</v>
      </c>
      <c r="K132" s="377">
        <v>2012</v>
      </c>
      <c r="L132" s="377" t="s">
        <v>311</v>
      </c>
      <c r="M132" s="378">
        <v>1705</v>
      </c>
      <c r="N132" s="379">
        <v>7.3</v>
      </c>
      <c r="O132" s="375">
        <v>2</v>
      </c>
      <c r="P132" s="375" t="s">
        <v>272</v>
      </c>
      <c r="Q132" s="375" t="s">
        <v>275</v>
      </c>
      <c r="R132" s="375" t="s">
        <v>291</v>
      </c>
      <c r="S132" s="380" t="s">
        <v>271</v>
      </c>
      <c r="T132" s="154">
        <v>4</v>
      </c>
      <c r="U132" s="154">
        <v>5</v>
      </c>
      <c r="V132" s="154">
        <v>5</v>
      </c>
      <c r="W132" s="154">
        <v>5</v>
      </c>
      <c r="X132" s="154">
        <v>5</v>
      </c>
      <c r="Y132" s="154">
        <v>5</v>
      </c>
      <c r="Z132" s="154">
        <f t="shared" si="43"/>
        <v>95</v>
      </c>
      <c r="AA132" s="405">
        <f t="shared" si="26"/>
        <v>852500</v>
      </c>
      <c r="AB132" s="405">
        <f t="shared" si="27"/>
        <v>511500</v>
      </c>
      <c r="AC132" s="407">
        <f t="shared" si="28"/>
        <v>7700</v>
      </c>
      <c r="AD132" s="343"/>
      <c r="AE132" s="343"/>
      <c r="AF132" s="343"/>
      <c r="AG132" s="343"/>
      <c r="AH132" s="381"/>
      <c r="AI132" s="381"/>
      <c r="AJ132" s="381"/>
      <c r="AK132" s="381"/>
      <c r="AW132" s="217">
        <f t="shared" si="29"/>
        <v>4</v>
      </c>
      <c r="AX132" s="217">
        <f t="shared" si="30"/>
        <v>5</v>
      </c>
      <c r="AY132" s="217">
        <f t="shared" si="31"/>
        <v>5</v>
      </c>
      <c r="AZ132" s="217">
        <f t="shared" si="32"/>
        <v>5</v>
      </c>
      <c r="BA132" s="217">
        <f t="shared" si="33"/>
        <v>5</v>
      </c>
      <c r="BB132" s="217">
        <f t="shared" si="34"/>
        <v>5</v>
      </c>
      <c r="BC132" s="217">
        <f t="shared" si="35"/>
        <v>71</v>
      </c>
      <c r="BD132" s="217"/>
      <c r="BE132" s="217">
        <f t="shared" si="36"/>
        <v>5</v>
      </c>
      <c r="BF132" s="217">
        <f t="shared" si="37"/>
        <v>5</v>
      </c>
      <c r="BG132" s="217">
        <f t="shared" si="38"/>
        <v>5</v>
      </c>
      <c r="BH132" s="217">
        <f t="shared" si="39"/>
        <v>5</v>
      </c>
      <c r="BI132" s="217">
        <f t="shared" si="40"/>
        <v>5</v>
      </c>
      <c r="BJ132" s="217">
        <f t="shared" si="41"/>
        <v>5</v>
      </c>
      <c r="BK132" s="217">
        <f t="shared" si="42"/>
        <v>75</v>
      </c>
    </row>
    <row r="133" spans="2:63" s="372" customFormat="1" ht="30" customHeight="1" x14ac:dyDescent="0.35">
      <c r="B133" s="373" t="s">
        <v>648</v>
      </c>
      <c r="C133" s="374" t="s">
        <v>646</v>
      </c>
      <c r="D133" s="375" t="s">
        <v>628</v>
      </c>
      <c r="E133" s="375" t="s">
        <v>420</v>
      </c>
      <c r="F133" s="383">
        <f>7+27/60+43/3600</f>
        <v>7.4619444444444447</v>
      </c>
      <c r="G133" s="383">
        <f>134+33/60+27/3600</f>
        <v>134.5575</v>
      </c>
      <c r="H133" s="383">
        <f>7+27/60+48/3600</f>
        <v>7.4633333333333338</v>
      </c>
      <c r="I133" s="383">
        <f>134+32/60+52/3600</f>
        <v>134.54777777777778</v>
      </c>
      <c r="J133" s="375" t="s">
        <v>99</v>
      </c>
      <c r="K133" s="377">
        <v>2011</v>
      </c>
      <c r="L133" s="377" t="s">
        <v>311</v>
      </c>
      <c r="M133" s="378">
        <v>685</v>
      </c>
      <c r="N133" s="379">
        <v>7.3</v>
      </c>
      <c r="O133" s="375">
        <v>2</v>
      </c>
      <c r="P133" s="375" t="s">
        <v>272</v>
      </c>
      <c r="Q133" s="375" t="s">
        <v>275</v>
      </c>
      <c r="R133" s="375" t="s">
        <v>291</v>
      </c>
      <c r="S133" s="380" t="s">
        <v>271</v>
      </c>
      <c r="T133" s="154">
        <v>5</v>
      </c>
      <c r="U133" s="154">
        <v>5</v>
      </c>
      <c r="V133" s="154">
        <v>5</v>
      </c>
      <c r="W133" s="154">
        <v>5</v>
      </c>
      <c r="X133" s="154">
        <v>5</v>
      </c>
      <c r="Y133" s="154">
        <v>5</v>
      </c>
      <c r="Z133" s="154">
        <f t="shared" si="43"/>
        <v>100</v>
      </c>
      <c r="AA133" s="405">
        <f t="shared" si="26"/>
        <v>342500</v>
      </c>
      <c r="AB133" s="405">
        <f t="shared" si="27"/>
        <v>205500</v>
      </c>
      <c r="AC133" s="407">
        <f t="shared" si="28"/>
        <v>3100</v>
      </c>
      <c r="AD133" s="343"/>
      <c r="AE133" s="343"/>
      <c r="AF133" s="343"/>
      <c r="AG133" s="343"/>
      <c r="AH133" s="381"/>
      <c r="AI133" s="381"/>
      <c r="AJ133" s="381"/>
      <c r="AK133" s="381"/>
      <c r="AW133" s="217">
        <f t="shared" si="29"/>
        <v>5</v>
      </c>
      <c r="AX133" s="217">
        <f t="shared" si="30"/>
        <v>5</v>
      </c>
      <c r="AY133" s="217">
        <f t="shared" si="31"/>
        <v>5</v>
      </c>
      <c r="AZ133" s="217">
        <f t="shared" si="32"/>
        <v>5</v>
      </c>
      <c r="BA133" s="217">
        <f t="shared" si="33"/>
        <v>5</v>
      </c>
      <c r="BB133" s="217">
        <f t="shared" si="34"/>
        <v>5</v>
      </c>
      <c r="BC133" s="217">
        <f t="shared" si="35"/>
        <v>75</v>
      </c>
      <c r="BD133" s="217"/>
      <c r="BE133" s="217">
        <f t="shared" si="36"/>
        <v>5</v>
      </c>
      <c r="BF133" s="217">
        <f t="shared" si="37"/>
        <v>5</v>
      </c>
      <c r="BG133" s="217">
        <f t="shared" si="38"/>
        <v>5</v>
      </c>
      <c r="BH133" s="217">
        <f t="shared" si="39"/>
        <v>5</v>
      </c>
      <c r="BI133" s="217">
        <f t="shared" si="40"/>
        <v>5</v>
      </c>
      <c r="BJ133" s="217">
        <f t="shared" si="41"/>
        <v>5</v>
      </c>
      <c r="BK133" s="217">
        <f t="shared" si="42"/>
        <v>75</v>
      </c>
    </row>
    <row r="134" spans="2:63" s="372" customFormat="1" ht="30" customHeight="1" x14ac:dyDescent="0.35">
      <c r="B134" s="373" t="s">
        <v>649</v>
      </c>
      <c r="C134" s="374" t="s">
        <v>650</v>
      </c>
      <c r="D134" s="375" t="s">
        <v>420</v>
      </c>
      <c r="E134" s="375" t="s">
        <v>420</v>
      </c>
      <c r="F134" s="383">
        <f>7+27/60+48/3600</f>
        <v>7.4633333333333338</v>
      </c>
      <c r="G134" s="383">
        <f>134+32/60+52/3600</f>
        <v>134.54777777777778</v>
      </c>
      <c r="H134" s="383">
        <f>7+27/60+23/3600</f>
        <v>7.4563888888888892</v>
      </c>
      <c r="I134" s="383">
        <f>134+32/60+19/3600</f>
        <v>134.53861111111112</v>
      </c>
      <c r="J134" s="375" t="s">
        <v>99</v>
      </c>
      <c r="K134" s="377">
        <v>2011</v>
      </c>
      <c r="L134" s="377" t="s">
        <v>311</v>
      </c>
      <c r="M134" s="378">
        <v>1005</v>
      </c>
      <c r="N134" s="379">
        <v>7.3</v>
      </c>
      <c r="O134" s="375">
        <v>2</v>
      </c>
      <c r="P134" s="375" t="s">
        <v>272</v>
      </c>
      <c r="Q134" s="375" t="s">
        <v>275</v>
      </c>
      <c r="R134" s="375" t="s">
        <v>291</v>
      </c>
      <c r="S134" s="380" t="s">
        <v>271</v>
      </c>
      <c r="T134" s="154">
        <v>5</v>
      </c>
      <c r="U134" s="154">
        <v>5</v>
      </c>
      <c r="V134" s="154">
        <v>5</v>
      </c>
      <c r="W134" s="154">
        <v>5</v>
      </c>
      <c r="X134" s="154">
        <v>5</v>
      </c>
      <c r="Y134" s="154">
        <v>5</v>
      </c>
      <c r="Z134" s="154">
        <f t="shared" si="43"/>
        <v>100</v>
      </c>
      <c r="AA134" s="405">
        <f t="shared" si="26"/>
        <v>502500</v>
      </c>
      <c r="AB134" s="405">
        <f t="shared" si="27"/>
        <v>301500</v>
      </c>
      <c r="AC134" s="407">
        <f t="shared" si="28"/>
        <v>4500</v>
      </c>
      <c r="AD134" s="343"/>
      <c r="AE134" s="343"/>
      <c r="AF134" s="343"/>
      <c r="AG134" s="343"/>
      <c r="AH134" s="381"/>
      <c r="AI134" s="381"/>
      <c r="AJ134" s="381"/>
      <c r="AK134" s="381"/>
      <c r="AW134" s="217">
        <f t="shared" si="29"/>
        <v>5</v>
      </c>
      <c r="AX134" s="217">
        <f t="shared" si="30"/>
        <v>5</v>
      </c>
      <c r="AY134" s="217">
        <f t="shared" si="31"/>
        <v>5</v>
      </c>
      <c r="AZ134" s="217">
        <f t="shared" si="32"/>
        <v>5</v>
      </c>
      <c r="BA134" s="217">
        <f t="shared" si="33"/>
        <v>5</v>
      </c>
      <c r="BB134" s="217">
        <f t="shared" si="34"/>
        <v>5</v>
      </c>
      <c r="BC134" s="217">
        <f t="shared" si="35"/>
        <v>75</v>
      </c>
      <c r="BD134" s="217"/>
      <c r="BE134" s="217">
        <f t="shared" si="36"/>
        <v>5</v>
      </c>
      <c r="BF134" s="217">
        <f t="shared" si="37"/>
        <v>5</v>
      </c>
      <c r="BG134" s="217">
        <f t="shared" si="38"/>
        <v>5</v>
      </c>
      <c r="BH134" s="217">
        <f t="shared" si="39"/>
        <v>5</v>
      </c>
      <c r="BI134" s="217">
        <f t="shared" si="40"/>
        <v>5</v>
      </c>
      <c r="BJ134" s="217">
        <f t="shared" si="41"/>
        <v>5</v>
      </c>
      <c r="BK134" s="217">
        <f t="shared" si="42"/>
        <v>75</v>
      </c>
    </row>
    <row r="135" spans="2:63" s="372" customFormat="1" ht="30" customHeight="1" x14ac:dyDescent="0.35">
      <c r="B135" s="373" t="s">
        <v>652</v>
      </c>
      <c r="C135" s="374" t="s">
        <v>651</v>
      </c>
      <c r="D135" s="375" t="s">
        <v>420</v>
      </c>
      <c r="E135" s="375" t="s">
        <v>420</v>
      </c>
      <c r="F135" s="383">
        <f>7+27/60+23/3600</f>
        <v>7.4563888888888892</v>
      </c>
      <c r="G135" s="383">
        <f>134+32/60+19/3600</f>
        <v>134.53861111111112</v>
      </c>
      <c r="H135" s="383">
        <f>7+27/60+27/3600</f>
        <v>7.4575000000000005</v>
      </c>
      <c r="I135" s="383">
        <f>134+31/60+48/3600</f>
        <v>134.53</v>
      </c>
      <c r="J135" s="375" t="s">
        <v>99</v>
      </c>
      <c r="K135" s="377">
        <v>2011</v>
      </c>
      <c r="L135" s="377" t="s">
        <v>311</v>
      </c>
      <c r="M135" s="378">
        <v>1525</v>
      </c>
      <c r="N135" s="379">
        <v>7.3</v>
      </c>
      <c r="O135" s="375">
        <v>2</v>
      </c>
      <c r="P135" s="375" t="s">
        <v>272</v>
      </c>
      <c r="Q135" s="375" t="s">
        <v>275</v>
      </c>
      <c r="R135" s="375" t="s">
        <v>291</v>
      </c>
      <c r="S135" s="380" t="s">
        <v>271</v>
      </c>
      <c r="T135" s="154">
        <v>4</v>
      </c>
      <c r="U135" s="154">
        <v>4</v>
      </c>
      <c r="V135" s="154">
        <v>5</v>
      </c>
      <c r="W135" s="154">
        <v>5</v>
      </c>
      <c r="X135" s="154">
        <v>5</v>
      </c>
      <c r="Y135" s="154">
        <v>5</v>
      </c>
      <c r="Z135" s="154">
        <f t="shared" si="43"/>
        <v>90</v>
      </c>
      <c r="AA135" s="405">
        <f t="shared" ref="AA135:AA198" si="47">T$2*M135+U$2*M135+V$2*AF135+X$2*AF135</f>
        <v>762500</v>
      </c>
      <c r="AB135" s="405">
        <f t="shared" ref="AB135:AB198" si="48">U$2*M135+V$2*AE135+X$2*AF135</f>
        <v>457500</v>
      </c>
      <c r="AC135" s="407">
        <f t="shared" ref="AC135:AC198" si="49">ROUND(AC$4*AB135,-2)</f>
        <v>6900</v>
      </c>
      <c r="AD135" s="343"/>
      <c r="AE135" s="343"/>
      <c r="AF135" s="343"/>
      <c r="AG135" s="343"/>
      <c r="AH135" s="381"/>
      <c r="AI135" s="381"/>
      <c r="AJ135" s="381"/>
      <c r="AK135" s="381"/>
      <c r="AW135" s="217">
        <f t="shared" ref="AW135:AW198" si="50">IF(OR(T135=1,T135=2,T135=3,T135=4,T135=5),T135,0)</f>
        <v>4</v>
      </c>
      <c r="AX135" s="217">
        <f t="shared" ref="AX135:AX198" si="51">IF(OR(U135=1,U135=2,U135=3,U135=4,U135=5),U135,0)</f>
        <v>4</v>
      </c>
      <c r="AY135" s="217">
        <f t="shared" ref="AY135:AY198" si="52">IF(OR(V135=1,V135=2,V135=3,V135=4,V135=5),V135,0)</f>
        <v>5</v>
      </c>
      <c r="AZ135" s="217">
        <f t="shared" ref="AZ135:AZ198" si="53">IF(OR(W135=1,W135=2,W135=3,W135=4,W135=5),W135,0)</f>
        <v>5</v>
      </c>
      <c r="BA135" s="217">
        <f t="shared" ref="BA135:BA198" si="54">IF(OR(X135=1,X135=2,X135=3,X135=4,X135=5),X135,0)</f>
        <v>5</v>
      </c>
      <c r="BB135" s="217">
        <f t="shared" ref="BB135:BB198" si="55">IF(OR(Y135=1,Y135=2,Y135=3,Y135=4,Y135=5),Y135,0)</f>
        <v>5</v>
      </c>
      <c r="BC135" s="217">
        <f t="shared" ref="BC135:BC198" si="56">AW$2*AW135+AX$2*AX135+AY$2*AY135+AZ$2*AZ135+BA$2*BA135+BB$2*BB135</f>
        <v>67</v>
      </c>
      <c r="BD135" s="217"/>
      <c r="BE135" s="217">
        <f t="shared" ref="BE135:BE198" si="57">IF(OR(T135=1,T135=2,T135=3,T135=4,T135=5),5,0)</f>
        <v>5</v>
      </c>
      <c r="BF135" s="217">
        <f t="shared" ref="BF135:BF198" si="58">IF(OR(U135=1,U135=2,U135=3,U135=4,U135=5),5,0)</f>
        <v>5</v>
      </c>
      <c r="BG135" s="217">
        <f t="shared" ref="BG135:BG198" si="59">IF(OR(V135=1,V135=2,V135=3,V135=4,V135=5),5,0)</f>
        <v>5</v>
      </c>
      <c r="BH135" s="217">
        <f t="shared" ref="BH135:BH198" si="60">IF(OR(W135=1,W135=2,W135=3,W135=4,W135=5),5,0)</f>
        <v>5</v>
      </c>
      <c r="BI135" s="217">
        <f t="shared" ref="BI135:BI198" si="61">IF(OR(X135=1,X135=2,X135=3,X135=4,X135=5),5,0)</f>
        <v>5</v>
      </c>
      <c r="BJ135" s="217">
        <f t="shared" ref="BJ135:BJ198" si="62">IF(OR(Y135=1,Y135=2,Y135=3,Y135=4,Y135=5),5,0)</f>
        <v>5</v>
      </c>
      <c r="BK135" s="217">
        <f t="shared" ref="BK135:BK198" si="63">BE$2*BE135+BF$2*BF135+BG$2*BG135+BH$2*BH135+BI$2*BI135+BJ$2*BJ135</f>
        <v>75</v>
      </c>
    </row>
    <row r="136" spans="2:63" s="372" customFormat="1" ht="30" customHeight="1" x14ac:dyDescent="0.35">
      <c r="B136" s="373"/>
      <c r="C136" s="374"/>
      <c r="D136" s="375"/>
      <c r="E136" s="375"/>
      <c r="F136" s="383"/>
      <c r="G136" s="383"/>
      <c r="H136" s="383"/>
      <c r="I136" s="383"/>
      <c r="J136" s="375"/>
      <c r="K136" s="377"/>
      <c r="L136" s="377"/>
      <c r="M136" s="378"/>
      <c r="N136" s="379"/>
      <c r="O136" s="375"/>
      <c r="P136" s="375"/>
      <c r="Q136" s="375"/>
      <c r="R136" s="375"/>
      <c r="S136" s="380"/>
      <c r="T136" s="154"/>
      <c r="U136" s="154"/>
      <c r="V136" s="154"/>
      <c r="W136" s="154"/>
      <c r="X136" s="154"/>
      <c r="Y136" s="154"/>
      <c r="Z136" s="154"/>
      <c r="AA136" s="405">
        <f t="shared" si="47"/>
        <v>0</v>
      </c>
      <c r="AB136" s="405">
        <f t="shared" si="48"/>
        <v>0</v>
      </c>
      <c r="AC136" s="407">
        <f t="shared" si="49"/>
        <v>0</v>
      </c>
      <c r="AD136" s="343"/>
      <c r="AE136" s="343"/>
      <c r="AF136" s="343"/>
      <c r="AG136" s="343"/>
      <c r="AH136" s="381"/>
      <c r="AI136" s="381"/>
      <c r="AJ136" s="381"/>
      <c r="AK136" s="381"/>
      <c r="AW136" s="217">
        <f t="shared" si="50"/>
        <v>0</v>
      </c>
      <c r="AX136" s="217">
        <f t="shared" si="51"/>
        <v>0</v>
      </c>
      <c r="AY136" s="217">
        <f t="shared" si="52"/>
        <v>0</v>
      </c>
      <c r="AZ136" s="217">
        <f t="shared" si="53"/>
        <v>0</v>
      </c>
      <c r="BA136" s="217">
        <f t="shared" si="54"/>
        <v>0</v>
      </c>
      <c r="BB136" s="217">
        <f t="shared" si="55"/>
        <v>0</v>
      </c>
      <c r="BC136" s="217">
        <f t="shared" si="56"/>
        <v>0</v>
      </c>
      <c r="BD136" s="217"/>
      <c r="BE136" s="217">
        <f t="shared" si="57"/>
        <v>0</v>
      </c>
      <c r="BF136" s="217">
        <f t="shared" si="58"/>
        <v>0</v>
      </c>
      <c r="BG136" s="217">
        <f t="shared" si="59"/>
        <v>0</v>
      </c>
      <c r="BH136" s="217">
        <f t="shared" si="60"/>
        <v>0</v>
      </c>
      <c r="BI136" s="217">
        <f t="shared" si="61"/>
        <v>0</v>
      </c>
      <c r="BJ136" s="217">
        <f t="shared" si="62"/>
        <v>0</v>
      </c>
      <c r="BK136" s="217">
        <f t="shared" si="63"/>
        <v>0</v>
      </c>
    </row>
    <row r="137" spans="2:63" s="372" customFormat="1" ht="30" customHeight="1" x14ac:dyDescent="0.35">
      <c r="B137" s="373" t="s">
        <v>653</v>
      </c>
      <c r="C137" s="374" t="s">
        <v>654</v>
      </c>
      <c r="D137" s="375" t="s">
        <v>420</v>
      </c>
      <c r="E137" s="375" t="s">
        <v>420</v>
      </c>
      <c r="F137" s="383">
        <f>7+27/60+29/3600</f>
        <v>7.4580555555555561</v>
      </c>
      <c r="G137" s="383">
        <f>134+31/60+44/3600</f>
        <v>134.5288888888889</v>
      </c>
      <c r="H137" s="383">
        <f>7+27/60+29/3600</f>
        <v>7.4580555555555561</v>
      </c>
      <c r="I137" s="383">
        <f>134+31/60+24/3600</f>
        <v>134.52333333333334</v>
      </c>
      <c r="J137" s="375" t="s">
        <v>99</v>
      </c>
      <c r="K137" s="375">
        <v>2011</v>
      </c>
      <c r="L137" s="375" t="s">
        <v>311</v>
      </c>
      <c r="M137" s="378">
        <v>640</v>
      </c>
      <c r="N137" s="379">
        <v>7.3</v>
      </c>
      <c r="O137" s="375">
        <v>2</v>
      </c>
      <c r="P137" s="375" t="s">
        <v>272</v>
      </c>
      <c r="Q137" s="375" t="s">
        <v>275</v>
      </c>
      <c r="R137" s="375" t="s">
        <v>291</v>
      </c>
      <c r="S137" s="380" t="s">
        <v>271</v>
      </c>
      <c r="T137" s="154">
        <v>5</v>
      </c>
      <c r="U137" s="154">
        <v>5</v>
      </c>
      <c r="V137" s="154">
        <v>5</v>
      </c>
      <c r="W137" s="154">
        <v>5</v>
      </c>
      <c r="X137" s="154">
        <v>5</v>
      </c>
      <c r="Y137" s="154">
        <v>5</v>
      </c>
      <c r="Z137" s="154">
        <f t="shared" ref="Z137:Z199" si="64">ROUNDUP(BC137/BK137*100,0)</f>
        <v>100</v>
      </c>
      <c r="AA137" s="405">
        <f t="shared" si="47"/>
        <v>320000</v>
      </c>
      <c r="AB137" s="405">
        <f t="shared" si="48"/>
        <v>192000</v>
      </c>
      <c r="AC137" s="407">
        <f t="shared" si="49"/>
        <v>2900</v>
      </c>
      <c r="AD137" s="343"/>
      <c r="AE137" s="343"/>
      <c r="AF137" s="343"/>
      <c r="AG137" s="343"/>
      <c r="AH137" s="381"/>
      <c r="AI137" s="381"/>
      <c r="AJ137" s="381"/>
      <c r="AK137" s="381"/>
      <c r="AW137" s="217">
        <f t="shared" si="50"/>
        <v>5</v>
      </c>
      <c r="AX137" s="217">
        <f t="shared" si="51"/>
        <v>5</v>
      </c>
      <c r="AY137" s="217">
        <f t="shared" si="52"/>
        <v>5</v>
      </c>
      <c r="AZ137" s="217">
        <f t="shared" si="53"/>
        <v>5</v>
      </c>
      <c r="BA137" s="217">
        <f t="shared" si="54"/>
        <v>5</v>
      </c>
      <c r="BB137" s="217">
        <f t="shared" si="55"/>
        <v>5</v>
      </c>
      <c r="BC137" s="217">
        <f t="shared" si="56"/>
        <v>75</v>
      </c>
      <c r="BD137" s="217"/>
      <c r="BE137" s="217">
        <f t="shared" si="57"/>
        <v>5</v>
      </c>
      <c r="BF137" s="217">
        <f t="shared" si="58"/>
        <v>5</v>
      </c>
      <c r="BG137" s="217">
        <f t="shared" si="59"/>
        <v>5</v>
      </c>
      <c r="BH137" s="217">
        <f t="shared" si="60"/>
        <v>5</v>
      </c>
      <c r="BI137" s="217">
        <f t="shared" si="61"/>
        <v>5</v>
      </c>
      <c r="BJ137" s="217">
        <f t="shared" si="62"/>
        <v>5</v>
      </c>
      <c r="BK137" s="217">
        <f t="shared" si="63"/>
        <v>75</v>
      </c>
    </row>
    <row r="138" spans="2:63" s="372" customFormat="1" ht="30" customHeight="1" x14ac:dyDescent="0.35">
      <c r="B138" s="373" t="s">
        <v>655</v>
      </c>
      <c r="C138" s="374" t="s">
        <v>656</v>
      </c>
      <c r="D138" s="375" t="s">
        <v>420</v>
      </c>
      <c r="E138" s="375" t="s">
        <v>420</v>
      </c>
      <c r="F138" s="383">
        <f>7+27/60+29/3600</f>
        <v>7.4580555555555561</v>
      </c>
      <c r="G138" s="383">
        <f>134+31/60+24/3600</f>
        <v>134.52333333333334</v>
      </c>
      <c r="H138" s="383">
        <f>7+27/60+20/3600</f>
        <v>7.4555555555555557</v>
      </c>
      <c r="I138" s="383">
        <f>134+31/60+12/3600</f>
        <v>134.52000000000001</v>
      </c>
      <c r="J138" s="375" t="s">
        <v>99</v>
      </c>
      <c r="K138" s="375">
        <v>2012</v>
      </c>
      <c r="L138" s="375" t="s">
        <v>311</v>
      </c>
      <c r="M138" s="378">
        <v>485</v>
      </c>
      <c r="N138" s="379">
        <v>7.3</v>
      </c>
      <c r="O138" s="375">
        <v>2</v>
      </c>
      <c r="P138" s="375" t="s">
        <v>272</v>
      </c>
      <c r="Q138" s="375" t="s">
        <v>275</v>
      </c>
      <c r="R138" s="375" t="s">
        <v>291</v>
      </c>
      <c r="S138" s="380" t="s">
        <v>271</v>
      </c>
      <c r="T138" s="154">
        <v>5</v>
      </c>
      <c r="U138" s="154">
        <v>4</v>
      </c>
      <c r="V138" s="154">
        <v>5</v>
      </c>
      <c r="W138" s="154">
        <v>5</v>
      </c>
      <c r="X138" s="154">
        <v>5</v>
      </c>
      <c r="Y138" s="154">
        <v>5</v>
      </c>
      <c r="Z138" s="154">
        <f t="shared" si="64"/>
        <v>95</v>
      </c>
      <c r="AA138" s="405">
        <f t="shared" si="47"/>
        <v>242500</v>
      </c>
      <c r="AB138" s="405">
        <f t="shared" si="48"/>
        <v>145500</v>
      </c>
      <c r="AC138" s="407">
        <f t="shared" si="49"/>
        <v>2200</v>
      </c>
      <c r="AD138" s="343"/>
      <c r="AE138" s="343"/>
      <c r="AF138" s="343"/>
      <c r="AG138" s="343"/>
      <c r="AH138" s="381"/>
      <c r="AI138" s="381"/>
      <c r="AJ138" s="381"/>
      <c r="AK138" s="381"/>
      <c r="AW138" s="217">
        <f t="shared" si="50"/>
        <v>5</v>
      </c>
      <c r="AX138" s="217">
        <f t="shared" si="51"/>
        <v>4</v>
      </c>
      <c r="AY138" s="217">
        <f t="shared" si="52"/>
        <v>5</v>
      </c>
      <c r="AZ138" s="217">
        <f t="shared" si="53"/>
        <v>5</v>
      </c>
      <c r="BA138" s="217">
        <f t="shared" si="54"/>
        <v>5</v>
      </c>
      <c r="BB138" s="217">
        <f t="shared" si="55"/>
        <v>5</v>
      </c>
      <c r="BC138" s="217">
        <f t="shared" si="56"/>
        <v>71</v>
      </c>
      <c r="BD138" s="217"/>
      <c r="BE138" s="217">
        <f t="shared" si="57"/>
        <v>5</v>
      </c>
      <c r="BF138" s="217">
        <f t="shared" si="58"/>
        <v>5</v>
      </c>
      <c r="BG138" s="217">
        <f t="shared" si="59"/>
        <v>5</v>
      </c>
      <c r="BH138" s="217">
        <f t="shared" si="60"/>
        <v>5</v>
      </c>
      <c r="BI138" s="217">
        <f t="shared" si="61"/>
        <v>5</v>
      </c>
      <c r="BJ138" s="217">
        <f t="shared" si="62"/>
        <v>5</v>
      </c>
      <c r="BK138" s="217">
        <f t="shared" si="63"/>
        <v>75</v>
      </c>
    </row>
    <row r="139" spans="2:63" s="372" customFormat="1" ht="30" customHeight="1" x14ac:dyDescent="0.35">
      <c r="B139" s="373" t="s">
        <v>657</v>
      </c>
      <c r="C139" s="374" t="s">
        <v>659</v>
      </c>
      <c r="D139" s="375" t="s">
        <v>420</v>
      </c>
      <c r="E139" s="375" t="s">
        <v>420</v>
      </c>
      <c r="F139" s="383">
        <f>7+27/60+20/3600</f>
        <v>7.4555555555555557</v>
      </c>
      <c r="G139" s="383">
        <f>134+31/60+12/3600</f>
        <v>134.52000000000001</v>
      </c>
      <c r="H139" s="383">
        <f>7+27/60+24/3600</f>
        <v>7.456666666666667</v>
      </c>
      <c r="I139" s="383">
        <f>134+31/60+2/3600</f>
        <v>134.51722222222224</v>
      </c>
      <c r="J139" s="375" t="s">
        <v>99</v>
      </c>
      <c r="K139" s="375">
        <v>2013</v>
      </c>
      <c r="L139" s="375" t="s">
        <v>311</v>
      </c>
      <c r="M139" s="378">
        <v>430</v>
      </c>
      <c r="N139" s="379">
        <v>7.3</v>
      </c>
      <c r="O139" s="375">
        <v>2</v>
      </c>
      <c r="P139" s="375" t="s">
        <v>272</v>
      </c>
      <c r="Q139" s="375" t="s">
        <v>275</v>
      </c>
      <c r="R139" s="375" t="s">
        <v>291</v>
      </c>
      <c r="S139" s="380" t="s">
        <v>271</v>
      </c>
      <c r="T139" s="154">
        <v>5</v>
      </c>
      <c r="U139" s="154">
        <v>5</v>
      </c>
      <c r="V139" s="154">
        <v>5</v>
      </c>
      <c r="W139" s="154">
        <v>5</v>
      </c>
      <c r="X139" s="154">
        <v>5</v>
      </c>
      <c r="Y139" s="154">
        <v>5</v>
      </c>
      <c r="Z139" s="154">
        <f t="shared" si="64"/>
        <v>100</v>
      </c>
      <c r="AA139" s="405">
        <f t="shared" si="47"/>
        <v>215000</v>
      </c>
      <c r="AB139" s="405">
        <f t="shared" si="48"/>
        <v>129000</v>
      </c>
      <c r="AC139" s="407">
        <f t="shared" si="49"/>
        <v>1900</v>
      </c>
      <c r="AD139" s="343"/>
      <c r="AE139" s="343"/>
      <c r="AF139" s="343"/>
      <c r="AG139" s="343"/>
      <c r="AH139" s="381"/>
      <c r="AI139" s="381"/>
      <c r="AJ139" s="381"/>
      <c r="AK139" s="381"/>
      <c r="AW139" s="217">
        <f t="shared" si="50"/>
        <v>5</v>
      </c>
      <c r="AX139" s="217">
        <f t="shared" si="51"/>
        <v>5</v>
      </c>
      <c r="AY139" s="217">
        <f t="shared" si="52"/>
        <v>5</v>
      </c>
      <c r="AZ139" s="217">
        <f t="shared" si="53"/>
        <v>5</v>
      </c>
      <c r="BA139" s="217">
        <f t="shared" si="54"/>
        <v>5</v>
      </c>
      <c r="BB139" s="217">
        <f t="shared" si="55"/>
        <v>5</v>
      </c>
      <c r="BC139" s="217">
        <f t="shared" si="56"/>
        <v>75</v>
      </c>
      <c r="BD139" s="217"/>
      <c r="BE139" s="217">
        <f t="shared" si="57"/>
        <v>5</v>
      </c>
      <c r="BF139" s="217">
        <f t="shared" si="58"/>
        <v>5</v>
      </c>
      <c r="BG139" s="217">
        <f t="shared" si="59"/>
        <v>5</v>
      </c>
      <c r="BH139" s="217">
        <f t="shared" si="60"/>
        <v>5</v>
      </c>
      <c r="BI139" s="217">
        <f t="shared" si="61"/>
        <v>5</v>
      </c>
      <c r="BJ139" s="217">
        <f t="shared" si="62"/>
        <v>5</v>
      </c>
      <c r="BK139" s="217">
        <f t="shared" si="63"/>
        <v>75</v>
      </c>
    </row>
    <row r="140" spans="2:63" s="372" customFormat="1" ht="30" customHeight="1" x14ac:dyDescent="0.35">
      <c r="B140" s="373" t="s">
        <v>658</v>
      </c>
      <c r="C140" s="374" t="s">
        <v>660</v>
      </c>
      <c r="D140" s="375" t="s">
        <v>420</v>
      </c>
      <c r="E140" s="375" t="s">
        <v>661</v>
      </c>
      <c r="F140" s="383">
        <f>7+27/60+24/3600</f>
        <v>7.456666666666667</v>
      </c>
      <c r="G140" s="383">
        <f>134+31/60+2/3600</f>
        <v>134.51722222222224</v>
      </c>
      <c r="H140" s="383">
        <f>7+27/60+30/3600</f>
        <v>7.4583333333333339</v>
      </c>
      <c r="I140" s="383">
        <f>134+31/60+42/3600</f>
        <v>134.52833333333334</v>
      </c>
      <c r="J140" s="375" t="s">
        <v>99</v>
      </c>
      <c r="K140" s="375">
        <v>2014</v>
      </c>
      <c r="L140" s="375" t="s">
        <v>311</v>
      </c>
      <c r="M140" s="378">
        <v>735</v>
      </c>
      <c r="N140" s="379">
        <v>7.3</v>
      </c>
      <c r="O140" s="375">
        <v>2</v>
      </c>
      <c r="P140" s="375" t="s">
        <v>272</v>
      </c>
      <c r="Q140" s="375" t="s">
        <v>275</v>
      </c>
      <c r="R140" s="375" t="s">
        <v>291</v>
      </c>
      <c r="S140" s="380" t="s">
        <v>271</v>
      </c>
      <c r="T140" s="154">
        <v>5</v>
      </c>
      <c r="U140" s="154">
        <v>4</v>
      </c>
      <c r="V140" s="154">
        <v>5</v>
      </c>
      <c r="W140" s="154">
        <v>5</v>
      </c>
      <c r="X140" s="154">
        <v>5</v>
      </c>
      <c r="Y140" s="154">
        <v>5</v>
      </c>
      <c r="Z140" s="154">
        <f t="shared" si="64"/>
        <v>95</v>
      </c>
      <c r="AA140" s="405">
        <f t="shared" si="47"/>
        <v>367500</v>
      </c>
      <c r="AB140" s="405">
        <f t="shared" si="48"/>
        <v>220500</v>
      </c>
      <c r="AC140" s="407">
        <f t="shared" si="49"/>
        <v>3300</v>
      </c>
      <c r="AD140" s="343"/>
      <c r="AE140" s="343"/>
      <c r="AF140" s="343"/>
      <c r="AG140" s="343"/>
      <c r="AH140" s="381"/>
      <c r="AI140" s="381"/>
      <c r="AJ140" s="381"/>
      <c r="AK140" s="381"/>
      <c r="AW140" s="217">
        <f t="shared" si="50"/>
        <v>5</v>
      </c>
      <c r="AX140" s="217">
        <f t="shared" si="51"/>
        <v>4</v>
      </c>
      <c r="AY140" s="217">
        <f t="shared" si="52"/>
        <v>5</v>
      </c>
      <c r="AZ140" s="217">
        <f t="shared" si="53"/>
        <v>5</v>
      </c>
      <c r="BA140" s="217">
        <f t="shared" si="54"/>
        <v>5</v>
      </c>
      <c r="BB140" s="217">
        <f t="shared" si="55"/>
        <v>5</v>
      </c>
      <c r="BC140" s="217">
        <f t="shared" si="56"/>
        <v>71</v>
      </c>
      <c r="BD140" s="217"/>
      <c r="BE140" s="217">
        <f t="shared" si="57"/>
        <v>5</v>
      </c>
      <c r="BF140" s="217">
        <f t="shared" si="58"/>
        <v>5</v>
      </c>
      <c r="BG140" s="217">
        <f t="shared" si="59"/>
        <v>5</v>
      </c>
      <c r="BH140" s="217">
        <f t="shared" si="60"/>
        <v>5</v>
      </c>
      <c r="BI140" s="217">
        <f t="shared" si="61"/>
        <v>5</v>
      </c>
      <c r="BJ140" s="217">
        <f t="shared" si="62"/>
        <v>5</v>
      </c>
      <c r="BK140" s="217">
        <f t="shared" si="63"/>
        <v>75</v>
      </c>
    </row>
    <row r="141" spans="2:63" s="372" customFormat="1" ht="30" customHeight="1" x14ac:dyDescent="0.35">
      <c r="B141" s="373" t="s">
        <v>662</v>
      </c>
      <c r="C141" s="374" t="s">
        <v>663</v>
      </c>
      <c r="D141" s="375" t="s">
        <v>661</v>
      </c>
      <c r="E141" s="375" t="s">
        <v>661</v>
      </c>
      <c r="F141" s="383">
        <f>7+27/60+30/3600</f>
        <v>7.4583333333333339</v>
      </c>
      <c r="G141" s="383">
        <f>134+31/60+42/3600</f>
        <v>134.52833333333334</v>
      </c>
      <c r="H141" s="383">
        <f>7+27/60+26/3600</f>
        <v>7.4572222222222226</v>
      </c>
      <c r="I141" s="383">
        <f>134+31/60+32/3600</f>
        <v>134.52555555555557</v>
      </c>
      <c r="J141" s="375" t="s">
        <v>99</v>
      </c>
      <c r="K141" s="375">
        <v>2015</v>
      </c>
      <c r="L141" s="375" t="s">
        <v>311</v>
      </c>
      <c r="M141" s="378">
        <v>330</v>
      </c>
      <c r="N141" s="379">
        <v>7.3</v>
      </c>
      <c r="O141" s="375">
        <v>2</v>
      </c>
      <c r="P141" s="375" t="s">
        <v>272</v>
      </c>
      <c r="Q141" s="375" t="s">
        <v>275</v>
      </c>
      <c r="R141" s="375" t="s">
        <v>291</v>
      </c>
      <c r="S141" s="380" t="s">
        <v>271</v>
      </c>
      <c r="T141" s="154">
        <v>5</v>
      </c>
      <c r="U141" s="154">
        <v>5</v>
      </c>
      <c r="V141" s="154">
        <v>5</v>
      </c>
      <c r="W141" s="154">
        <v>5</v>
      </c>
      <c r="X141" s="154">
        <v>5</v>
      </c>
      <c r="Y141" s="154">
        <v>5</v>
      </c>
      <c r="Z141" s="154">
        <f t="shared" si="64"/>
        <v>100</v>
      </c>
      <c r="AA141" s="405">
        <f t="shared" si="47"/>
        <v>165000</v>
      </c>
      <c r="AB141" s="405">
        <f t="shared" si="48"/>
        <v>99000</v>
      </c>
      <c r="AC141" s="407">
        <f t="shared" si="49"/>
        <v>1500</v>
      </c>
      <c r="AD141" s="343"/>
      <c r="AE141" s="343"/>
      <c r="AF141" s="343"/>
      <c r="AG141" s="343"/>
      <c r="AH141" s="381"/>
      <c r="AI141" s="381"/>
      <c r="AJ141" s="381"/>
      <c r="AK141" s="381"/>
      <c r="AW141" s="217">
        <f t="shared" si="50"/>
        <v>5</v>
      </c>
      <c r="AX141" s="217">
        <f t="shared" si="51"/>
        <v>5</v>
      </c>
      <c r="AY141" s="217">
        <f t="shared" si="52"/>
        <v>5</v>
      </c>
      <c r="AZ141" s="217">
        <f t="shared" si="53"/>
        <v>5</v>
      </c>
      <c r="BA141" s="217">
        <f t="shared" si="54"/>
        <v>5</v>
      </c>
      <c r="BB141" s="217">
        <f t="shared" si="55"/>
        <v>5</v>
      </c>
      <c r="BC141" s="217">
        <f t="shared" si="56"/>
        <v>75</v>
      </c>
      <c r="BD141" s="217"/>
      <c r="BE141" s="217">
        <f t="shared" si="57"/>
        <v>5</v>
      </c>
      <c r="BF141" s="217">
        <f t="shared" si="58"/>
        <v>5</v>
      </c>
      <c r="BG141" s="217">
        <f t="shared" si="59"/>
        <v>5</v>
      </c>
      <c r="BH141" s="217">
        <f t="shared" si="60"/>
        <v>5</v>
      </c>
      <c r="BI141" s="217">
        <f t="shared" si="61"/>
        <v>5</v>
      </c>
      <c r="BJ141" s="217">
        <f t="shared" si="62"/>
        <v>5</v>
      </c>
      <c r="BK141" s="217">
        <f t="shared" si="63"/>
        <v>75</v>
      </c>
    </row>
    <row r="142" spans="2:63" s="372" customFormat="1" ht="30" customHeight="1" x14ac:dyDescent="0.35">
      <c r="B142" s="373" t="s">
        <v>664</v>
      </c>
      <c r="C142" s="374" t="s">
        <v>665</v>
      </c>
      <c r="D142" s="375" t="s">
        <v>661</v>
      </c>
      <c r="E142" s="375" t="s">
        <v>661</v>
      </c>
      <c r="F142" s="383">
        <f>7+27/60+26/3600</f>
        <v>7.4572222222222226</v>
      </c>
      <c r="G142" s="383">
        <f>134+31/60+32/3600</f>
        <v>134.52555555555557</v>
      </c>
      <c r="H142" s="383">
        <f>7+27/60+27/3600</f>
        <v>7.4575000000000005</v>
      </c>
      <c r="I142" s="383">
        <f>134+31/60+20/3600</f>
        <v>134.52222222222224</v>
      </c>
      <c r="J142" s="375" t="s">
        <v>99</v>
      </c>
      <c r="K142" s="375">
        <v>2016</v>
      </c>
      <c r="L142" s="375" t="s">
        <v>311</v>
      </c>
      <c r="M142" s="378">
        <v>385</v>
      </c>
      <c r="N142" s="379">
        <v>7.3</v>
      </c>
      <c r="O142" s="375">
        <v>2</v>
      </c>
      <c r="P142" s="375" t="s">
        <v>272</v>
      </c>
      <c r="Q142" s="375" t="s">
        <v>275</v>
      </c>
      <c r="R142" s="375" t="s">
        <v>291</v>
      </c>
      <c r="S142" s="380" t="s">
        <v>271</v>
      </c>
      <c r="T142" s="154">
        <v>5</v>
      </c>
      <c r="U142" s="154">
        <v>5</v>
      </c>
      <c r="V142" s="154">
        <v>5</v>
      </c>
      <c r="W142" s="154">
        <v>5</v>
      </c>
      <c r="X142" s="154">
        <v>5</v>
      </c>
      <c r="Y142" s="154">
        <v>5</v>
      </c>
      <c r="Z142" s="154">
        <f t="shared" si="64"/>
        <v>100</v>
      </c>
      <c r="AA142" s="405">
        <f t="shared" si="47"/>
        <v>192500</v>
      </c>
      <c r="AB142" s="405">
        <f t="shared" si="48"/>
        <v>115500</v>
      </c>
      <c r="AC142" s="407">
        <f t="shared" si="49"/>
        <v>1700</v>
      </c>
      <c r="AD142" s="343"/>
      <c r="AE142" s="343"/>
      <c r="AF142" s="343"/>
      <c r="AG142" s="343"/>
      <c r="AH142" s="381"/>
      <c r="AI142" s="381"/>
      <c r="AJ142" s="381"/>
      <c r="AK142" s="381"/>
      <c r="AW142" s="217">
        <f t="shared" si="50"/>
        <v>5</v>
      </c>
      <c r="AX142" s="217">
        <f t="shared" si="51"/>
        <v>5</v>
      </c>
      <c r="AY142" s="217">
        <f t="shared" si="52"/>
        <v>5</v>
      </c>
      <c r="AZ142" s="217">
        <f t="shared" si="53"/>
        <v>5</v>
      </c>
      <c r="BA142" s="217">
        <f t="shared" si="54"/>
        <v>5</v>
      </c>
      <c r="BB142" s="217">
        <f t="shared" si="55"/>
        <v>5</v>
      </c>
      <c r="BC142" s="217">
        <f t="shared" si="56"/>
        <v>75</v>
      </c>
      <c r="BD142" s="217"/>
      <c r="BE142" s="217">
        <f t="shared" si="57"/>
        <v>5</v>
      </c>
      <c r="BF142" s="217">
        <f t="shared" si="58"/>
        <v>5</v>
      </c>
      <c r="BG142" s="217">
        <f t="shared" si="59"/>
        <v>5</v>
      </c>
      <c r="BH142" s="217">
        <f t="shared" si="60"/>
        <v>5</v>
      </c>
      <c r="BI142" s="217">
        <f t="shared" si="61"/>
        <v>5</v>
      </c>
      <c r="BJ142" s="217">
        <f t="shared" si="62"/>
        <v>5</v>
      </c>
      <c r="BK142" s="217">
        <f t="shared" si="63"/>
        <v>75</v>
      </c>
    </row>
    <row r="143" spans="2:63" s="372" customFormat="1" ht="30" customHeight="1" x14ac:dyDescent="0.35">
      <c r="B143" s="373" t="s">
        <v>667</v>
      </c>
      <c r="C143" s="374" t="s">
        <v>666</v>
      </c>
      <c r="D143" s="375" t="s">
        <v>661</v>
      </c>
      <c r="E143" s="375" t="s">
        <v>661</v>
      </c>
      <c r="F143" s="383">
        <f>7+27/60+27/3600</f>
        <v>7.4575000000000005</v>
      </c>
      <c r="G143" s="383">
        <f>134+31/60+20/3600</f>
        <v>134.52222222222224</v>
      </c>
      <c r="H143" s="383">
        <f>7+27/60+20/3600</f>
        <v>7.4555555555555557</v>
      </c>
      <c r="I143" s="383">
        <f>134+31/60+21/3600</f>
        <v>134.52250000000001</v>
      </c>
      <c r="J143" s="375" t="s">
        <v>99</v>
      </c>
      <c r="K143" s="375">
        <v>2017</v>
      </c>
      <c r="L143" s="375" t="s">
        <v>311</v>
      </c>
      <c r="M143" s="378">
        <v>365</v>
      </c>
      <c r="N143" s="379">
        <v>7.3</v>
      </c>
      <c r="O143" s="375">
        <v>2</v>
      </c>
      <c r="P143" s="375" t="s">
        <v>272</v>
      </c>
      <c r="Q143" s="375" t="s">
        <v>275</v>
      </c>
      <c r="R143" s="375" t="s">
        <v>291</v>
      </c>
      <c r="S143" s="380" t="s">
        <v>271</v>
      </c>
      <c r="T143" s="154">
        <v>5</v>
      </c>
      <c r="U143" s="154">
        <v>5</v>
      </c>
      <c r="V143" s="154">
        <v>5</v>
      </c>
      <c r="W143" s="154">
        <v>5</v>
      </c>
      <c r="X143" s="154">
        <v>5</v>
      </c>
      <c r="Y143" s="154">
        <v>5</v>
      </c>
      <c r="Z143" s="154">
        <f t="shared" si="64"/>
        <v>100</v>
      </c>
      <c r="AA143" s="405">
        <f t="shared" si="47"/>
        <v>182500</v>
      </c>
      <c r="AB143" s="405">
        <f t="shared" si="48"/>
        <v>109500</v>
      </c>
      <c r="AC143" s="407">
        <f t="shared" si="49"/>
        <v>1600</v>
      </c>
      <c r="AD143" s="343"/>
      <c r="AE143" s="343"/>
      <c r="AF143" s="343"/>
      <c r="AG143" s="343"/>
      <c r="AH143" s="381"/>
      <c r="AI143" s="381"/>
      <c r="AJ143" s="381"/>
      <c r="AK143" s="381"/>
      <c r="AW143" s="217">
        <f t="shared" si="50"/>
        <v>5</v>
      </c>
      <c r="AX143" s="217">
        <f t="shared" si="51"/>
        <v>5</v>
      </c>
      <c r="AY143" s="217">
        <f t="shared" si="52"/>
        <v>5</v>
      </c>
      <c r="AZ143" s="217">
        <f t="shared" si="53"/>
        <v>5</v>
      </c>
      <c r="BA143" s="217">
        <f t="shared" si="54"/>
        <v>5</v>
      </c>
      <c r="BB143" s="217">
        <f t="shared" si="55"/>
        <v>5</v>
      </c>
      <c r="BC143" s="217">
        <f t="shared" si="56"/>
        <v>75</v>
      </c>
      <c r="BD143" s="217"/>
      <c r="BE143" s="217">
        <f t="shared" si="57"/>
        <v>5</v>
      </c>
      <c r="BF143" s="217">
        <f t="shared" si="58"/>
        <v>5</v>
      </c>
      <c r="BG143" s="217">
        <f t="shared" si="59"/>
        <v>5</v>
      </c>
      <c r="BH143" s="217">
        <f t="shared" si="60"/>
        <v>5</v>
      </c>
      <c r="BI143" s="217">
        <f t="shared" si="61"/>
        <v>5</v>
      </c>
      <c r="BJ143" s="217">
        <f t="shared" si="62"/>
        <v>5</v>
      </c>
      <c r="BK143" s="217">
        <f t="shared" si="63"/>
        <v>75</v>
      </c>
    </row>
    <row r="144" spans="2:63" s="372" customFormat="1" ht="30" customHeight="1" x14ac:dyDescent="0.35">
      <c r="B144" s="373" t="s">
        <v>668</v>
      </c>
      <c r="C144" s="374" t="s">
        <v>669</v>
      </c>
      <c r="D144" s="375" t="s">
        <v>661</v>
      </c>
      <c r="E144" s="375" t="s">
        <v>670</v>
      </c>
      <c r="F144" s="383">
        <f>7+27/60+20/3600</f>
        <v>7.4555555555555557</v>
      </c>
      <c r="G144" s="383">
        <f>134+31/60+21/3600</f>
        <v>134.52250000000001</v>
      </c>
      <c r="H144" s="388">
        <f>7+29/60+0/3600</f>
        <v>7.4833333333333334</v>
      </c>
      <c r="I144" s="388">
        <f>134+29/60+31/3600</f>
        <v>134.49194444444444</v>
      </c>
      <c r="J144" s="375" t="s">
        <v>99</v>
      </c>
      <c r="K144" s="377">
        <v>2001</v>
      </c>
      <c r="L144" s="377" t="s">
        <v>311</v>
      </c>
      <c r="M144" s="378">
        <v>3530</v>
      </c>
      <c r="N144" s="379">
        <v>6.1</v>
      </c>
      <c r="O144" s="375">
        <v>2</v>
      </c>
      <c r="P144" s="375" t="s">
        <v>272</v>
      </c>
      <c r="Q144" s="375" t="s">
        <v>503</v>
      </c>
      <c r="R144" s="375" t="s">
        <v>92</v>
      </c>
      <c r="S144" s="380" t="s">
        <v>92</v>
      </c>
      <c r="T144" s="154">
        <v>4</v>
      </c>
      <c r="U144" s="154">
        <v>3</v>
      </c>
      <c r="V144" s="154">
        <v>1</v>
      </c>
      <c r="W144" s="154">
        <v>3</v>
      </c>
      <c r="X144" s="154" t="s">
        <v>311</v>
      </c>
      <c r="Y144" s="154">
        <v>3</v>
      </c>
      <c r="Z144" s="154">
        <f t="shared" si="64"/>
        <v>63</v>
      </c>
      <c r="AA144" s="405">
        <f t="shared" si="47"/>
        <v>1765000</v>
      </c>
      <c r="AB144" s="405">
        <f t="shared" si="48"/>
        <v>1059000</v>
      </c>
      <c r="AC144" s="407">
        <f t="shared" si="49"/>
        <v>15900</v>
      </c>
      <c r="AD144" s="343"/>
      <c r="AE144" s="343"/>
      <c r="AF144" s="343"/>
      <c r="AG144" s="343"/>
      <c r="AH144" s="381"/>
      <c r="AI144" s="381"/>
      <c r="AJ144" s="381">
        <f t="shared" ref="AJ144:AJ201" si="65">$M144*V$2</f>
        <v>353000</v>
      </c>
      <c r="AK144" s="381"/>
      <c r="AW144" s="217">
        <f t="shared" si="50"/>
        <v>4</v>
      </c>
      <c r="AX144" s="217">
        <f t="shared" si="51"/>
        <v>3</v>
      </c>
      <c r="AY144" s="217">
        <f t="shared" si="52"/>
        <v>1</v>
      </c>
      <c r="AZ144" s="217">
        <f t="shared" si="53"/>
        <v>3</v>
      </c>
      <c r="BA144" s="217">
        <f t="shared" si="54"/>
        <v>0</v>
      </c>
      <c r="BB144" s="217">
        <f t="shared" si="55"/>
        <v>3</v>
      </c>
      <c r="BC144" s="217">
        <f t="shared" si="56"/>
        <v>44</v>
      </c>
      <c r="BD144" s="217"/>
      <c r="BE144" s="217">
        <f t="shared" si="57"/>
        <v>5</v>
      </c>
      <c r="BF144" s="217">
        <f t="shared" si="58"/>
        <v>5</v>
      </c>
      <c r="BG144" s="217">
        <f t="shared" si="59"/>
        <v>5</v>
      </c>
      <c r="BH144" s="217">
        <f t="shared" si="60"/>
        <v>5</v>
      </c>
      <c r="BI144" s="217">
        <f t="shared" si="61"/>
        <v>0</v>
      </c>
      <c r="BJ144" s="217">
        <f t="shared" si="62"/>
        <v>5</v>
      </c>
      <c r="BK144" s="217">
        <f t="shared" si="63"/>
        <v>70</v>
      </c>
    </row>
    <row r="145" spans="2:63" s="372" customFormat="1" ht="30" customHeight="1" x14ac:dyDescent="0.35">
      <c r="B145" s="373" t="s">
        <v>671</v>
      </c>
      <c r="C145" s="374" t="s">
        <v>672</v>
      </c>
      <c r="D145" s="375" t="s">
        <v>670</v>
      </c>
      <c r="E145" s="375" t="s">
        <v>670</v>
      </c>
      <c r="F145" s="388">
        <f>7+29/60+0/3600</f>
        <v>7.4833333333333334</v>
      </c>
      <c r="G145" s="388">
        <f>134+29/60+31/3600</f>
        <v>134.49194444444444</v>
      </c>
      <c r="H145" s="388">
        <f>7+29/60+18/3600</f>
        <v>7.4883333333333333</v>
      </c>
      <c r="I145" s="388">
        <f>134+29/60+3/3600</f>
        <v>134.48416666666665</v>
      </c>
      <c r="J145" s="375" t="s">
        <v>99</v>
      </c>
      <c r="K145" s="377" t="s">
        <v>502</v>
      </c>
      <c r="L145" s="377" t="s">
        <v>311</v>
      </c>
      <c r="M145" s="378">
        <v>1100</v>
      </c>
      <c r="N145" s="379">
        <v>5.5</v>
      </c>
      <c r="O145" s="375">
        <v>2</v>
      </c>
      <c r="P145" s="375" t="s">
        <v>272</v>
      </c>
      <c r="Q145" s="375" t="s">
        <v>275</v>
      </c>
      <c r="R145" s="375" t="s">
        <v>92</v>
      </c>
      <c r="S145" s="380" t="s">
        <v>271</v>
      </c>
      <c r="T145" s="154">
        <v>3</v>
      </c>
      <c r="U145" s="154">
        <v>4</v>
      </c>
      <c r="V145" s="154">
        <v>2</v>
      </c>
      <c r="W145" s="154">
        <v>2</v>
      </c>
      <c r="X145" s="154">
        <v>4</v>
      </c>
      <c r="Y145" s="154">
        <v>4</v>
      </c>
      <c r="Z145" s="154">
        <f t="shared" si="64"/>
        <v>70</v>
      </c>
      <c r="AA145" s="405">
        <f t="shared" si="47"/>
        <v>550000</v>
      </c>
      <c r="AB145" s="405">
        <f t="shared" si="48"/>
        <v>330000</v>
      </c>
      <c r="AC145" s="407">
        <f t="shared" si="49"/>
        <v>5000</v>
      </c>
      <c r="AD145" s="343"/>
      <c r="AE145" s="343"/>
      <c r="AF145" s="343"/>
      <c r="AG145" s="343"/>
      <c r="AH145" s="381"/>
      <c r="AI145" s="381"/>
      <c r="AJ145" s="381">
        <f t="shared" si="65"/>
        <v>110000</v>
      </c>
      <c r="AK145" s="381"/>
      <c r="AW145" s="217">
        <f t="shared" si="50"/>
        <v>3</v>
      </c>
      <c r="AX145" s="217">
        <f t="shared" si="51"/>
        <v>4</v>
      </c>
      <c r="AY145" s="217">
        <f t="shared" si="52"/>
        <v>2</v>
      </c>
      <c r="AZ145" s="217">
        <f t="shared" si="53"/>
        <v>2</v>
      </c>
      <c r="BA145" s="217">
        <f t="shared" si="54"/>
        <v>4</v>
      </c>
      <c r="BB145" s="217">
        <f t="shared" si="55"/>
        <v>4</v>
      </c>
      <c r="BC145" s="217">
        <f t="shared" si="56"/>
        <v>52</v>
      </c>
      <c r="BD145" s="217"/>
      <c r="BE145" s="217">
        <f t="shared" si="57"/>
        <v>5</v>
      </c>
      <c r="BF145" s="217">
        <f t="shared" si="58"/>
        <v>5</v>
      </c>
      <c r="BG145" s="217">
        <f t="shared" si="59"/>
        <v>5</v>
      </c>
      <c r="BH145" s="217">
        <f t="shared" si="60"/>
        <v>5</v>
      </c>
      <c r="BI145" s="217">
        <f t="shared" si="61"/>
        <v>5</v>
      </c>
      <c r="BJ145" s="217">
        <f t="shared" si="62"/>
        <v>5</v>
      </c>
      <c r="BK145" s="217">
        <f t="shared" si="63"/>
        <v>75</v>
      </c>
    </row>
    <row r="146" spans="2:63" s="372" customFormat="1" ht="30" customHeight="1" x14ac:dyDescent="0.35">
      <c r="B146" s="373" t="s">
        <v>674</v>
      </c>
      <c r="C146" s="374" t="s">
        <v>673</v>
      </c>
      <c r="D146" s="375" t="s">
        <v>670</v>
      </c>
      <c r="E146" s="375" t="s">
        <v>670</v>
      </c>
      <c r="F146" s="388">
        <f>7+29/60+18/3600</f>
        <v>7.4883333333333333</v>
      </c>
      <c r="G146" s="388">
        <f>134+29/60+3/3600</f>
        <v>134.48416666666665</v>
      </c>
      <c r="H146" s="388">
        <f>7+29/60+14/3600</f>
        <v>7.487222222222222</v>
      </c>
      <c r="I146" s="388">
        <f>134+28/60+50/3600</f>
        <v>134.48055555555555</v>
      </c>
      <c r="J146" s="375" t="s">
        <v>97</v>
      </c>
      <c r="K146" s="377" t="s">
        <v>502</v>
      </c>
      <c r="L146" s="377" t="s">
        <v>311</v>
      </c>
      <c r="M146" s="378">
        <v>410</v>
      </c>
      <c r="N146" s="379">
        <v>3</v>
      </c>
      <c r="O146" s="375">
        <v>2</v>
      </c>
      <c r="P146" s="375" t="s">
        <v>272</v>
      </c>
      <c r="Q146" s="375" t="s">
        <v>275</v>
      </c>
      <c r="R146" s="375" t="s">
        <v>92</v>
      </c>
      <c r="S146" s="380" t="s">
        <v>271</v>
      </c>
      <c r="T146" s="154">
        <v>3</v>
      </c>
      <c r="U146" s="154">
        <v>4</v>
      </c>
      <c r="V146" s="154">
        <v>2</v>
      </c>
      <c r="W146" s="154">
        <v>2</v>
      </c>
      <c r="X146" s="154">
        <v>4</v>
      </c>
      <c r="Y146" s="154">
        <v>4</v>
      </c>
      <c r="Z146" s="154">
        <f t="shared" si="64"/>
        <v>70</v>
      </c>
      <c r="AA146" s="405">
        <f t="shared" si="47"/>
        <v>205000</v>
      </c>
      <c r="AB146" s="405">
        <f t="shared" si="48"/>
        <v>123000</v>
      </c>
      <c r="AC146" s="407">
        <f t="shared" si="49"/>
        <v>1800</v>
      </c>
      <c r="AD146" s="343"/>
      <c r="AE146" s="343"/>
      <c r="AF146" s="343"/>
      <c r="AG146" s="343"/>
      <c r="AH146" s="381"/>
      <c r="AI146" s="381"/>
      <c r="AJ146" s="381">
        <f t="shared" si="65"/>
        <v>41000</v>
      </c>
      <c r="AK146" s="381"/>
      <c r="AW146" s="217">
        <f t="shared" si="50"/>
        <v>3</v>
      </c>
      <c r="AX146" s="217">
        <f t="shared" si="51"/>
        <v>4</v>
      </c>
      <c r="AY146" s="217">
        <f t="shared" si="52"/>
        <v>2</v>
      </c>
      <c r="AZ146" s="217">
        <f t="shared" si="53"/>
        <v>2</v>
      </c>
      <c r="BA146" s="217">
        <f t="shared" si="54"/>
        <v>4</v>
      </c>
      <c r="BB146" s="217">
        <f t="shared" si="55"/>
        <v>4</v>
      </c>
      <c r="BC146" s="217">
        <f t="shared" si="56"/>
        <v>52</v>
      </c>
      <c r="BD146" s="217"/>
      <c r="BE146" s="217">
        <f t="shared" si="57"/>
        <v>5</v>
      </c>
      <c r="BF146" s="217">
        <f t="shared" si="58"/>
        <v>5</v>
      </c>
      <c r="BG146" s="217">
        <f t="shared" si="59"/>
        <v>5</v>
      </c>
      <c r="BH146" s="217">
        <f t="shared" si="60"/>
        <v>5</v>
      </c>
      <c r="BI146" s="217">
        <f t="shared" si="61"/>
        <v>5</v>
      </c>
      <c r="BJ146" s="217">
        <f t="shared" si="62"/>
        <v>5</v>
      </c>
      <c r="BK146" s="217">
        <f t="shared" si="63"/>
        <v>75</v>
      </c>
    </row>
    <row r="147" spans="2:63" s="372" customFormat="1" ht="30" customHeight="1" x14ac:dyDescent="0.35">
      <c r="B147" s="373" t="s">
        <v>675</v>
      </c>
      <c r="C147" s="374" t="s">
        <v>676</v>
      </c>
      <c r="D147" s="375" t="s">
        <v>670</v>
      </c>
      <c r="E147" s="375" t="s">
        <v>670</v>
      </c>
      <c r="F147" s="388">
        <f>7+29/60+18/3600</f>
        <v>7.4883333333333333</v>
      </c>
      <c r="G147" s="388">
        <f>134+29/60+3/3600</f>
        <v>134.48416666666665</v>
      </c>
      <c r="H147" s="388">
        <f>7+29/60+45/3600</f>
        <v>7.4958333333333336</v>
      </c>
      <c r="I147" s="388">
        <f>134+29/60+6/3600</f>
        <v>134.48499999999999</v>
      </c>
      <c r="J147" s="375" t="s">
        <v>277</v>
      </c>
      <c r="K147" s="377" t="s">
        <v>502</v>
      </c>
      <c r="L147" s="377" t="s">
        <v>311</v>
      </c>
      <c r="M147" s="378">
        <v>880</v>
      </c>
      <c r="N147" s="379">
        <v>6.1</v>
      </c>
      <c r="O147" s="375">
        <v>2</v>
      </c>
      <c r="P147" s="375" t="s">
        <v>272</v>
      </c>
      <c r="Q147" s="375" t="s">
        <v>275</v>
      </c>
      <c r="R147" s="375" t="s">
        <v>92</v>
      </c>
      <c r="S147" s="380" t="s">
        <v>271</v>
      </c>
      <c r="T147" s="154">
        <v>4</v>
      </c>
      <c r="U147" s="154">
        <v>4</v>
      </c>
      <c r="V147" s="154">
        <v>3</v>
      </c>
      <c r="W147" s="154">
        <v>2</v>
      </c>
      <c r="X147" s="154">
        <v>4</v>
      </c>
      <c r="Y147" s="154">
        <v>4</v>
      </c>
      <c r="Z147" s="154">
        <f t="shared" si="64"/>
        <v>76</v>
      </c>
      <c r="AA147" s="405">
        <f t="shared" si="47"/>
        <v>440000</v>
      </c>
      <c r="AB147" s="405">
        <f t="shared" si="48"/>
        <v>264000</v>
      </c>
      <c r="AC147" s="407">
        <f t="shared" si="49"/>
        <v>4000</v>
      </c>
      <c r="AD147" s="343"/>
      <c r="AE147" s="343"/>
      <c r="AF147" s="343"/>
      <c r="AG147" s="343"/>
      <c r="AH147" s="381"/>
      <c r="AI147" s="381"/>
      <c r="AJ147" s="381"/>
      <c r="AK147" s="381"/>
      <c r="AW147" s="217">
        <f t="shared" si="50"/>
        <v>4</v>
      </c>
      <c r="AX147" s="217">
        <f t="shared" si="51"/>
        <v>4</v>
      </c>
      <c r="AY147" s="217">
        <f t="shared" si="52"/>
        <v>3</v>
      </c>
      <c r="AZ147" s="217">
        <f t="shared" si="53"/>
        <v>2</v>
      </c>
      <c r="BA147" s="217">
        <f t="shared" si="54"/>
        <v>4</v>
      </c>
      <c r="BB147" s="217">
        <f t="shared" si="55"/>
        <v>4</v>
      </c>
      <c r="BC147" s="217">
        <f t="shared" si="56"/>
        <v>57</v>
      </c>
      <c r="BD147" s="217"/>
      <c r="BE147" s="217">
        <f t="shared" si="57"/>
        <v>5</v>
      </c>
      <c r="BF147" s="217">
        <f t="shared" si="58"/>
        <v>5</v>
      </c>
      <c r="BG147" s="217">
        <f t="shared" si="59"/>
        <v>5</v>
      </c>
      <c r="BH147" s="217">
        <f t="shared" si="60"/>
        <v>5</v>
      </c>
      <c r="BI147" s="217">
        <f t="shared" si="61"/>
        <v>5</v>
      </c>
      <c r="BJ147" s="217">
        <f t="shared" si="62"/>
        <v>5</v>
      </c>
      <c r="BK147" s="217">
        <f t="shared" si="63"/>
        <v>75</v>
      </c>
    </row>
    <row r="148" spans="2:63" s="372" customFormat="1" ht="30" customHeight="1" x14ac:dyDescent="0.35">
      <c r="B148" s="373" t="s">
        <v>677</v>
      </c>
      <c r="C148" s="374" t="s">
        <v>678</v>
      </c>
      <c r="D148" s="375" t="s">
        <v>679</v>
      </c>
      <c r="E148" s="375" t="s">
        <v>679</v>
      </c>
      <c r="F148" s="383">
        <f>7+29/60+13/3600</f>
        <v>7.4869444444444442</v>
      </c>
      <c r="G148" s="383">
        <f>134+31/60+59/3600</f>
        <v>134.53305555555556</v>
      </c>
      <c r="H148" s="383">
        <f>7+29/60+28/3600</f>
        <v>7.4911111111111115</v>
      </c>
      <c r="I148" s="383">
        <f>134+31/60+47/3600</f>
        <v>134.52972222222223</v>
      </c>
      <c r="J148" s="375" t="s">
        <v>277</v>
      </c>
      <c r="K148" s="375">
        <v>2019</v>
      </c>
      <c r="L148" s="375" t="s">
        <v>311</v>
      </c>
      <c r="M148" s="378">
        <v>550</v>
      </c>
      <c r="N148" s="379">
        <v>6.1</v>
      </c>
      <c r="O148" s="375">
        <v>2</v>
      </c>
      <c r="P148" s="375" t="s">
        <v>272</v>
      </c>
      <c r="Q148" s="375" t="s">
        <v>275</v>
      </c>
      <c r="R148" s="375" t="s">
        <v>291</v>
      </c>
      <c r="S148" s="380" t="s">
        <v>271</v>
      </c>
      <c r="T148" s="154">
        <v>5</v>
      </c>
      <c r="U148" s="154">
        <v>5</v>
      </c>
      <c r="V148" s="154">
        <v>5</v>
      </c>
      <c r="W148" s="154">
        <v>5</v>
      </c>
      <c r="X148" s="154">
        <v>5</v>
      </c>
      <c r="Y148" s="154">
        <v>5</v>
      </c>
      <c r="Z148" s="154">
        <f t="shared" si="64"/>
        <v>100</v>
      </c>
      <c r="AA148" s="405">
        <f t="shared" si="47"/>
        <v>275000</v>
      </c>
      <c r="AB148" s="405">
        <f t="shared" si="48"/>
        <v>165000</v>
      </c>
      <c r="AC148" s="407">
        <f t="shared" si="49"/>
        <v>2500</v>
      </c>
      <c r="AD148" s="343"/>
      <c r="AE148" s="343"/>
      <c r="AF148" s="343"/>
      <c r="AG148" s="343"/>
      <c r="AH148" s="381"/>
      <c r="AI148" s="381"/>
      <c r="AJ148" s="381"/>
      <c r="AK148" s="381"/>
      <c r="AW148" s="217">
        <f t="shared" si="50"/>
        <v>5</v>
      </c>
      <c r="AX148" s="217">
        <f t="shared" si="51"/>
        <v>5</v>
      </c>
      <c r="AY148" s="217">
        <f t="shared" si="52"/>
        <v>5</v>
      </c>
      <c r="AZ148" s="217">
        <f t="shared" si="53"/>
        <v>5</v>
      </c>
      <c r="BA148" s="217">
        <f t="shared" si="54"/>
        <v>5</v>
      </c>
      <c r="BB148" s="217">
        <f t="shared" si="55"/>
        <v>5</v>
      </c>
      <c r="BC148" s="217">
        <f t="shared" si="56"/>
        <v>75</v>
      </c>
      <c r="BD148" s="217"/>
      <c r="BE148" s="217">
        <f t="shared" si="57"/>
        <v>5</v>
      </c>
      <c r="BF148" s="217">
        <f t="shared" si="58"/>
        <v>5</v>
      </c>
      <c r="BG148" s="217">
        <f t="shared" si="59"/>
        <v>5</v>
      </c>
      <c r="BH148" s="217">
        <f t="shared" si="60"/>
        <v>5</v>
      </c>
      <c r="BI148" s="217">
        <f t="shared" si="61"/>
        <v>5</v>
      </c>
      <c r="BJ148" s="217">
        <f t="shared" si="62"/>
        <v>5</v>
      </c>
      <c r="BK148" s="217">
        <f t="shared" si="63"/>
        <v>75</v>
      </c>
    </row>
    <row r="149" spans="2:63" s="372" customFormat="1" ht="30" customHeight="1" x14ac:dyDescent="0.35">
      <c r="B149" s="373" t="s">
        <v>680</v>
      </c>
      <c r="C149" s="374" t="s">
        <v>681</v>
      </c>
      <c r="D149" s="375" t="s">
        <v>679</v>
      </c>
      <c r="E149" s="375" t="s">
        <v>679</v>
      </c>
      <c r="F149" s="383">
        <f>7+29/60+28/3600</f>
        <v>7.4911111111111115</v>
      </c>
      <c r="G149" s="383">
        <f>134+31/60+47/3600</f>
        <v>134.52972222222223</v>
      </c>
      <c r="H149" s="383">
        <f>7+29/60+23/3600</f>
        <v>7.4897222222222224</v>
      </c>
      <c r="I149" s="383">
        <f>134+31/60+19/3600</f>
        <v>134.52194444444447</v>
      </c>
      <c r="J149" s="375" t="s">
        <v>277</v>
      </c>
      <c r="K149" s="377" t="s">
        <v>502</v>
      </c>
      <c r="L149" s="375" t="s">
        <v>311</v>
      </c>
      <c r="M149" s="378">
        <v>1565</v>
      </c>
      <c r="N149" s="379">
        <v>6.1</v>
      </c>
      <c r="O149" s="375">
        <v>2</v>
      </c>
      <c r="P149" s="375" t="s">
        <v>272</v>
      </c>
      <c r="Q149" s="375" t="s">
        <v>503</v>
      </c>
      <c r="R149" s="375" t="s">
        <v>92</v>
      </c>
      <c r="S149" s="380" t="s">
        <v>92</v>
      </c>
      <c r="T149" s="154">
        <v>4</v>
      </c>
      <c r="U149" s="154">
        <v>2</v>
      </c>
      <c r="V149" s="154">
        <v>1</v>
      </c>
      <c r="W149" s="154">
        <v>3</v>
      </c>
      <c r="X149" s="154" t="s">
        <v>311</v>
      </c>
      <c r="Y149" s="154">
        <v>2</v>
      </c>
      <c r="Z149" s="154">
        <f t="shared" si="64"/>
        <v>52</v>
      </c>
      <c r="AA149" s="405">
        <f t="shared" si="47"/>
        <v>782500</v>
      </c>
      <c r="AB149" s="405">
        <f t="shared" si="48"/>
        <v>469500</v>
      </c>
      <c r="AC149" s="407">
        <f t="shared" si="49"/>
        <v>7000</v>
      </c>
      <c r="AD149" s="343"/>
      <c r="AE149" s="343"/>
      <c r="AF149" s="343"/>
      <c r="AG149" s="343"/>
      <c r="AH149" s="381"/>
      <c r="AI149" s="381">
        <f t="shared" ref="AI149:AI201" si="66">$M149*U$2</f>
        <v>469500</v>
      </c>
      <c r="AJ149" s="381">
        <f t="shared" si="65"/>
        <v>156500</v>
      </c>
      <c r="AK149" s="381"/>
      <c r="AW149" s="217">
        <f t="shared" si="50"/>
        <v>4</v>
      </c>
      <c r="AX149" s="217">
        <f t="shared" si="51"/>
        <v>2</v>
      </c>
      <c r="AY149" s="217">
        <f t="shared" si="52"/>
        <v>1</v>
      </c>
      <c r="AZ149" s="217">
        <f t="shared" si="53"/>
        <v>3</v>
      </c>
      <c r="BA149" s="217">
        <f t="shared" si="54"/>
        <v>0</v>
      </c>
      <c r="BB149" s="217">
        <f t="shared" si="55"/>
        <v>2</v>
      </c>
      <c r="BC149" s="217">
        <f t="shared" si="56"/>
        <v>36</v>
      </c>
      <c r="BD149" s="217"/>
      <c r="BE149" s="217">
        <f t="shared" si="57"/>
        <v>5</v>
      </c>
      <c r="BF149" s="217">
        <f t="shared" si="58"/>
        <v>5</v>
      </c>
      <c r="BG149" s="217">
        <f t="shared" si="59"/>
        <v>5</v>
      </c>
      <c r="BH149" s="217">
        <f t="shared" si="60"/>
        <v>5</v>
      </c>
      <c r="BI149" s="217">
        <f t="shared" si="61"/>
        <v>0</v>
      </c>
      <c r="BJ149" s="217">
        <f t="shared" si="62"/>
        <v>5</v>
      </c>
      <c r="BK149" s="217">
        <f t="shared" si="63"/>
        <v>70</v>
      </c>
    </row>
    <row r="150" spans="2:63" s="372" customFormat="1" ht="30" customHeight="1" x14ac:dyDescent="0.35">
      <c r="B150" s="373"/>
      <c r="C150" s="374"/>
      <c r="D150" s="375"/>
      <c r="E150" s="375"/>
      <c r="F150" s="383"/>
      <c r="G150" s="383"/>
      <c r="H150" s="383"/>
      <c r="I150" s="383"/>
      <c r="J150" s="375"/>
      <c r="K150" s="377"/>
      <c r="L150" s="377"/>
      <c r="M150" s="378"/>
      <c r="N150" s="379"/>
      <c r="O150" s="375"/>
      <c r="P150" s="375"/>
      <c r="Q150" s="375"/>
      <c r="R150" s="375"/>
      <c r="S150" s="380"/>
      <c r="T150" s="154"/>
      <c r="U150" s="154"/>
      <c r="V150" s="154"/>
      <c r="W150" s="154"/>
      <c r="X150" s="154"/>
      <c r="Y150" s="154"/>
      <c r="Z150" s="154"/>
      <c r="AA150" s="405">
        <f t="shared" si="47"/>
        <v>0</v>
      </c>
      <c r="AB150" s="405">
        <f t="shared" si="48"/>
        <v>0</v>
      </c>
      <c r="AC150" s="407">
        <f t="shared" si="49"/>
        <v>0</v>
      </c>
      <c r="AD150" s="343"/>
      <c r="AE150" s="343"/>
      <c r="AF150" s="343"/>
      <c r="AG150" s="343"/>
      <c r="AH150" s="381"/>
      <c r="AI150" s="381"/>
      <c r="AJ150" s="381">
        <f t="shared" si="65"/>
        <v>0</v>
      </c>
      <c r="AK150" s="381"/>
      <c r="AW150" s="217">
        <f t="shared" si="50"/>
        <v>0</v>
      </c>
      <c r="AX150" s="217">
        <f t="shared" si="51"/>
        <v>0</v>
      </c>
      <c r="AY150" s="217">
        <f t="shared" si="52"/>
        <v>0</v>
      </c>
      <c r="AZ150" s="217">
        <f t="shared" si="53"/>
        <v>0</v>
      </c>
      <c r="BA150" s="217">
        <f t="shared" si="54"/>
        <v>0</v>
      </c>
      <c r="BB150" s="217">
        <f t="shared" si="55"/>
        <v>0</v>
      </c>
      <c r="BC150" s="217">
        <f t="shared" si="56"/>
        <v>0</v>
      </c>
      <c r="BD150" s="217"/>
      <c r="BE150" s="217">
        <f t="shared" si="57"/>
        <v>0</v>
      </c>
      <c r="BF150" s="217">
        <f t="shared" si="58"/>
        <v>0</v>
      </c>
      <c r="BG150" s="217">
        <f t="shared" si="59"/>
        <v>0</v>
      </c>
      <c r="BH150" s="217">
        <f t="shared" si="60"/>
        <v>0</v>
      </c>
      <c r="BI150" s="217">
        <f t="shared" si="61"/>
        <v>0</v>
      </c>
      <c r="BJ150" s="217">
        <f t="shared" si="62"/>
        <v>0</v>
      </c>
      <c r="BK150" s="217">
        <f t="shared" si="63"/>
        <v>0</v>
      </c>
    </row>
    <row r="151" spans="2:63" s="372" customFormat="1" ht="30" customHeight="1" x14ac:dyDescent="0.35">
      <c r="B151" s="373" t="s">
        <v>682</v>
      </c>
      <c r="C151" s="374" t="s">
        <v>683</v>
      </c>
      <c r="D151" s="375" t="s">
        <v>684</v>
      </c>
      <c r="E151" s="375" t="s">
        <v>684</v>
      </c>
      <c r="F151" s="383">
        <f>7+25/60+48/3600</f>
        <v>7.4300000000000006</v>
      </c>
      <c r="G151" s="383">
        <f>134+31/60+28/3600</f>
        <v>134.52444444444447</v>
      </c>
      <c r="H151" s="383">
        <f>7+25/60+58/3600</f>
        <v>7.4327777777777779</v>
      </c>
      <c r="I151" s="383">
        <f>134+31/60+18/3600</f>
        <v>134.52166666666668</v>
      </c>
      <c r="J151" s="375" t="s">
        <v>99</v>
      </c>
      <c r="K151" s="375">
        <v>2007</v>
      </c>
      <c r="L151" s="375" t="s">
        <v>311</v>
      </c>
      <c r="M151" s="378">
        <v>450</v>
      </c>
      <c r="N151" s="379">
        <v>7.3</v>
      </c>
      <c r="O151" s="375">
        <v>2</v>
      </c>
      <c r="P151" s="375" t="s">
        <v>272</v>
      </c>
      <c r="Q151" s="375" t="s">
        <v>275</v>
      </c>
      <c r="R151" s="375" t="s">
        <v>291</v>
      </c>
      <c r="S151" s="380" t="s">
        <v>687</v>
      </c>
      <c r="T151" s="154">
        <v>5</v>
      </c>
      <c r="U151" s="154">
        <v>4</v>
      </c>
      <c r="V151" s="154">
        <v>4</v>
      </c>
      <c r="W151" s="154">
        <v>4</v>
      </c>
      <c r="X151" s="154">
        <v>3</v>
      </c>
      <c r="Y151" s="154">
        <v>5</v>
      </c>
      <c r="Z151" s="154">
        <f t="shared" si="64"/>
        <v>90</v>
      </c>
      <c r="AA151" s="405">
        <f t="shared" si="47"/>
        <v>225000</v>
      </c>
      <c r="AB151" s="405">
        <f t="shared" si="48"/>
        <v>135000</v>
      </c>
      <c r="AC151" s="407">
        <f t="shared" si="49"/>
        <v>2000</v>
      </c>
      <c r="AD151" s="343"/>
      <c r="AE151" s="343"/>
      <c r="AF151" s="343"/>
      <c r="AG151" s="343"/>
      <c r="AH151" s="381"/>
      <c r="AI151" s="381"/>
      <c r="AJ151" s="381"/>
      <c r="AK151" s="381"/>
      <c r="AW151" s="217">
        <f t="shared" si="50"/>
        <v>5</v>
      </c>
      <c r="AX151" s="217">
        <f t="shared" si="51"/>
        <v>4</v>
      </c>
      <c r="AY151" s="217">
        <f t="shared" si="52"/>
        <v>4</v>
      </c>
      <c r="AZ151" s="217">
        <f t="shared" si="53"/>
        <v>4</v>
      </c>
      <c r="BA151" s="217">
        <f t="shared" si="54"/>
        <v>3</v>
      </c>
      <c r="BB151" s="217">
        <f t="shared" si="55"/>
        <v>5</v>
      </c>
      <c r="BC151" s="217">
        <f t="shared" si="56"/>
        <v>67</v>
      </c>
      <c r="BD151" s="217"/>
      <c r="BE151" s="217">
        <f t="shared" si="57"/>
        <v>5</v>
      </c>
      <c r="BF151" s="217">
        <f t="shared" si="58"/>
        <v>5</v>
      </c>
      <c r="BG151" s="217">
        <f t="shared" si="59"/>
        <v>5</v>
      </c>
      <c r="BH151" s="217">
        <f t="shared" si="60"/>
        <v>5</v>
      </c>
      <c r="BI151" s="217">
        <f t="shared" si="61"/>
        <v>5</v>
      </c>
      <c r="BJ151" s="217">
        <f t="shared" si="62"/>
        <v>5</v>
      </c>
      <c r="BK151" s="217">
        <f t="shared" si="63"/>
        <v>75</v>
      </c>
    </row>
    <row r="152" spans="2:63" s="372" customFormat="1" ht="30" customHeight="1" x14ac:dyDescent="0.35">
      <c r="B152" s="373" t="s">
        <v>685</v>
      </c>
      <c r="C152" s="374" t="s">
        <v>686</v>
      </c>
      <c r="D152" s="375" t="s">
        <v>684</v>
      </c>
      <c r="E152" s="375" t="s">
        <v>684</v>
      </c>
      <c r="F152" s="383">
        <f>7+25/60+58/3600</f>
        <v>7.4327777777777779</v>
      </c>
      <c r="G152" s="383">
        <f>134+31/60+18/3600</f>
        <v>134.52166666666668</v>
      </c>
      <c r="H152" s="383">
        <f>7+25/60+57/3600</f>
        <v>7.4325000000000001</v>
      </c>
      <c r="I152" s="383">
        <f>134+31/60+12/3600</f>
        <v>134.52000000000001</v>
      </c>
      <c r="J152" s="375" t="s">
        <v>99</v>
      </c>
      <c r="K152" s="375">
        <v>2012</v>
      </c>
      <c r="L152" s="375" t="s">
        <v>311</v>
      </c>
      <c r="M152" s="378">
        <v>180</v>
      </c>
      <c r="N152" s="379">
        <v>7.3</v>
      </c>
      <c r="O152" s="375">
        <v>2</v>
      </c>
      <c r="P152" s="375" t="s">
        <v>272</v>
      </c>
      <c r="Q152" s="375" t="s">
        <v>275</v>
      </c>
      <c r="R152" s="375" t="s">
        <v>291</v>
      </c>
      <c r="S152" s="380" t="s">
        <v>271</v>
      </c>
      <c r="T152" s="154">
        <v>5</v>
      </c>
      <c r="U152" s="154">
        <v>5</v>
      </c>
      <c r="V152" s="154">
        <v>5</v>
      </c>
      <c r="W152" s="154">
        <v>4</v>
      </c>
      <c r="X152" s="154">
        <v>4</v>
      </c>
      <c r="Y152" s="154">
        <v>5</v>
      </c>
      <c r="Z152" s="154">
        <f t="shared" si="64"/>
        <v>98</v>
      </c>
      <c r="AA152" s="405">
        <f t="shared" si="47"/>
        <v>90000</v>
      </c>
      <c r="AB152" s="405">
        <f t="shared" si="48"/>
        <v>54000</v>
      </c>
      <c r="AC152" s="407">
        <f t="shared" si="49"/>
        <v>800</v>
      </c>
      <c r="AD152" s="343"/>
      <c r="AE152" s="343"/>
      <c r="AF152" s="343"/>
      <c r="AG152" s="343"/>
      <c r="AH152" s="381"/>
      <c r="AI152" s="381"/>
      <c r="AJ152" s="381"/>
      <c r="AK152" s="381"/>
      <c r="AW152" s="217">
        <f t="shared" si="50"/>
        <v>5</v>
      </c>
      <c r="AX152" s="217">
        <f t="shared" si="51"/>
        <v>5</v>
      </c>
      <c r="AY152" s="217">
        <f t="shared" si="52"/>
        <v>5</v>
      </c>
      <c r="AZ152" s="217">
        <f t="shared" si="53"/>
        <v>4</v>
      </c>
      <c r="BA152" s="217">
        <f t="shared" si="54"/>
        <v>4</v>
      </c>
      <c r="BB152" s="217">
        <f t="shared" si="55"/>
        <v>5</v>
      </c>
      <c r="BC152" s="217">
        <f t="shared" si="56"/>
        <v>73</v>
      </c>
      <c r="BD152" s="217"/>
      <c r="BE152" s="217">
        <f t="shared" si="57"/>
        <v>5</v>
      </c>
      <c r="BF152" s="217">
        <f t="shared" si="58"/>
        <v>5</v>
      </c>
      <c r="BG152" s="217">
        <f t="shared" si="59"/>
        <v>5</v>
      </c>
      <c r="BH152" s="217">
        <f t="shared" si="60"/>
        <v>5</v>
      </c>
      <c r="BI152" s="217">
        <f t="shared" si="61"/>
        <v>5</v>
      </c>
      <c r="BJ152" s="217">
        <f t="shared" si="62"/>
        <v>5</v>
      </c>
      <c r="BK152" s="217">
        <f t="shared" si="63"/>
        <v>75</v>
      </c>
    </row>
    <row r="153" spans="2:63" s="372" customFormat="1" ht="30" customHeight="1" x14ac:dyDescent="0.35">
      <c r="B153" s="373" t="s">
        <v>688</v>
      </c>
      <c r="C153" s="374" t="s">
        <v>689</v>
      </c>
      <c r="D153" s="375" t="s">
        <v>684</v>
      </c>
      <c r="E153" s="375" t="s">
        <v>684</v>
      </c>
      <c r="F153" s="383">
        <f>7+25/60+57/3600</f>
        <v>7.4325000000000001</v>
      </c>
      <c r="G153" s="383">
        <f>134+31/60+12/3600</f>
        <v>134.52000000000001</v>
      </c>
      <c r="H153" s="383">
        <f>7+25/60+59/3600</f>
        <v>7.4330555555555557</v>
      </c>
      <c r="I153" s="383">
        <f>134+31/60+8/3600</f>
        <v>134.51888888888891</v>
      </c>
      <c r="J153" s="375" t="s">
        <v>99</v>
      </c>
      <c r="K153" s="375">
        <v>2015</v>
      </c>
      <c r="L153" s="375" t="s">
        <v>311</v>
      </c>
      <c r="M153" s="378">
        <v>200</v>
      </c>
      <c r="N153" s="379">
        <v>7.3</v>
      </c>
      <c r="O153" s="375">
        <v>2</v>
      </c>
      <c r="P153" s="375" t="s">
        <v>272</v>
      </c>
      <c r="Q153" s="375" t="s">
        <v>275</v>
      </c>
      <c r="R153" s="375" t="s">
        <v>291</v>
      </c>
      <c r="S153" s="380" t="s">
        <v>271</v>
      </c>
      <c r="T153" s="154">
        <v>4</v>
      </c>
      <c r="U153" s="154">
        <v>5</v>
      </c>
      <c r="V153" s="154">
        <v>5</v>
      </c>
      <c r="W153" s="154">
        <v>5</v>
      </c>
      <c r="X153" s="154">
        <v>5</v>
      </c>
      <c r="Y153" s="154">
        <v>5</v>
      </c>
      <c r="Z153" s="154">
        <f t="shared" si="64"/>
        <v>95</v>
      </c>
      <c r="AA153" s="405">
        <f t="shared" si="47"/>
        <v>100000</v>
      </c>
      <c r="AB153" s="405">
        <f t="shared" si="48"/>
        <v>60000</v>
      </c>
      <c r="AC153" s="407">
        <f t="shared" si="49"/>
        <v>900</v>
      </c>
      <c r="AD153" s="343"/>
      <c r="AE153" s="343"/>
      <c r="AF153" s="343"/>
      <c r="AG153" s="343"/>
      <c r="AH153" s="381"/>
      <c r="AI153" s="381"/>
      <c r="AJ153" s="381"/>
      <c r="AK153" s="381"/>
      <c r="AW153" s="217">
        <f t="shared" si="50"/>
        <v>4</v>
      </c>
      <c r="AX153" s="217">
        <f t="shared" si="51"/>
        <v>5</v>
      </c>
      <c r="AY153" s="217">
        <f t="shared" si="52"/>
        <v>5</v>
      </c>
      <c r="AZ153" s="217">
        <f t="shared" si="53"/>
        <v>5</v>
      </c>
      <c r="BA153" s="217">
        <f t="shared" si="54"/>
        <v>5</v>
      </c>
      <c r="BB153" s="217">
        <f t="shared" si="55"/>
        <v>5</v>
      </c>
      <c r="BC153" s="217">
        <f t="shared" si="56"/>
        <v>71</v>
      </c>
      <c r="BD153" s="217"/>
      <c r="BE153" s="217">
        <f t="shared" si="57"/>
        <v>5</v>
      </c>
      <c r="BF153" s="217">
        <f t="shared" si="58"/>
        <v>5</v>
      </c>
      <c r="BG153" s="217">
        <f t="shared" si="59"/>
        <v>5</v>
      </c>
      <c r="BH153" s="217">
        <f t="shared" si="60"/>
        <v>5</v>
      </c>
      <c r="BI153" s="217">
        <f t="shared" si="61"/>
        <v>5</v>
      </c>
      <c r="BJ153" s="217">
        <f t="shared" si="62"/>
        <v>5</v>
      </c>
      <c r="BK153" s="217">
        <f t="shared" si="63"/>
        <v>75</v>
      </c>
    </row>
    <row r="154" spans="2:63" s="372" customFormat="1" ht="30" customHeight="1" x14ac:dyDescent="0.35">
      <c r="B154" s="373" t="s">
        <v>691</v>
      </c>
      <c r="C154" s="374" t="s">
        <v>690</v>
      </c>
      <c r="D154" s="375" t="s">
        <v>684</v>
      </c>
      <c r="E154" s="375" t="s">
        <v>684</v>
      </c>
      <c r="F154" s="383">
        <f>7+25/60+59/3600</f>
        <v>7.4330555555555557</v>
      </c>
      <c r="G154" s="383">
        <f>134+31/60+8/3600</f>
        <v>134.51888888888891</v>
      </c>
      <c r="H154" s="383">
        <f>7+26/60+2/3600</f>
        <v>7.4338888888888892</v>
      </c>
      <c r="I154" s="383">
        <f>134+30/60+3/3600</f>
        <v>134.50083333333333</v>
      </c>
      <c r="J154" s="375" t="s">
        <v>99</v>
      </c>
      <c r="K154" s="375">
        <v>2016</v>
      </c>
      <c r="L154" s="375" t="s">
        <v>311</v>
      </c>
      <c r="M154" s="378">
        <v>180</v>
      </c>
      <c r="N154" s="379">
        <v>7.3</v>
      </c>
      <c r="O154" s="375">
        <v>2</v>
      </c>
      <c r="P154" s="375" t="s">
        <v>272</v>
      </c>
      <c r="Q154" s="375" t="s">
        <v>275</v>
      </c>
      <c r="R154" s="375" t="s">
        <v>291</v>
      </c>
      <c r="S154" s="380" t="s">
        <v>271</v>
      </c>
      <c r="T154" s="154">
        <v>4</v>
      </c>
      <c r="U154" s="154">
        <v>5</v>
      </c>
      <c r="V154" s="154">
        <v>5</v>
      </c>
      <c r="W154" s="154">
        <v>5</v>
      </c>
      <c r="X154" s="154">
        <v>5</v>
      </c>
      <c r="Y154" s="154">
        <v>5</v>
      </c>
      <c r="Z154" s="154">
        <f t="shared" si="64"/>
        <v>95</v>
      </c>
      <c r="AA154" s="405">
        <f t="shared" si="47"/>
        <v>90000</v>
      </c>
      <c r="AB154" s="405">
        <f t="shared" si="48"/>
        <v>54000</v>
      </c>
      <c r="AC154" s="407">
        <f t="shared" si="49"/>
        <v>800</v>
      </c>
      <c r="AD154" s="343"/>
      <c r="AE154" s="343"/>
      <c r="AF154" s="343"/>
      <c r="AG154" s="343"/>
      <c r="AH154" s="381"/>
      <c r="AI154" s="381"/>
      <c r="AJ154" s="381"/>
      <c r="AK154" s="381"/>
      <c r="AW154" s="217">
        <f t="shared" si="50"/>
        <v>4</v>
      </c>
      <c r="AX154" s="217">
        <f t="shared" si="51"/>
        <v>5</v>
      </c>
      <c r="AY154" s="217">
        <f t="shared" si="52"/>
        <v>5</v>
      </c>
      <c r="AZ154" s="217">
        <f t="shared" si="53"/>
        <v>5</v>
      </c>
      <c r="BA154" s="217">
        <f t="shared" si="54"/>
        <v>5</v>
      </c>
      <c r="BB154" s="217">
        <f t="shared" si="55"/>
        <v>5</v>
      </c>
      <c r="BC154" s="217">
        <f t="shared" si="56"/>
        <v>71</v>
      </c>
      <c r="BD154" s="217"/>
      <c r="BE154" s="217">
        <f t="shared" si="57"/>
        <v>5</v>
      </c>
      <c r="BF154" s="217">
        <f t="shared" si="58"/>
        <v>5</v>
      </c>
      <c r="BG154" s="217">
        <f t="shared" si="59"/>
        <v>5</v>
      </c>
      <c r="BH154" s="217">
        <f t="shared" si="60"/>
        <v>5</v>
      </c>
      <c r="BI154" s="217">
        <f t="shared" si="61"/>
        <v>5</v>
      </c>
      <c r="BJ154" s="217">
        <f t="shared" si="62"/>
        <v>5</v>
      </c>
      <c r="BK154" s="217">
        <f t="shared" si="63"/>
        <v>75</v>
      </c>
    </row>
    <row r="155" spans="2:63" s="372" customFormat="1" ht="30" customHeight="1" x14ac:dyDescent="0.35">
      <c r="B155" s="373" t="s">
        <v>692</v>
      </c>
      <c r="C155" s="374" t="s">
        <v>693</v>
      </c>
      <c r="D155" s="375" t="s">
        <v>684</v>
      </c>
      <c r="E155" s="375" t="s">
        <v>684</v>
      </c>
      <c r="F155" s="383">
        <f>7+26/60+2/3600</f>
        <v>7.4338888888888892</v>
      </c>
      <c r="G155" s="383">
        <f>134+30/60+3/3600</f>
        <v>134.50083333333333</v>
      </c>
      <c r="H155" s="383">
        <f>7+26/60+7/3600</f>
        <v>7.4352777777777783</v>
      </c>
      <c r="I155" s="383">
        <f>134+30/60+59/3600</f>
        <v>134.51638888888888</v>
      </c>
      <c r="J155" s="375" t="s">
        <v>99</v>
      </c>
      <c r="K155" s="375">
        <v>2016</v>
      </c>
      <c r="L155" s="375" t="s">
        <v>311</v>
      </c>
      <c r="M155" s="378">
        <v>180</v>
      </c>
      <c r="N155" s="379">
        <v>7.3</v>
      </c>
      <c r="O155" s="375">
        <v>2</v>
      </c>
      <c r="P155" s="375" t="s">
        <v>272</v>
      </c>
      <c r="Q155" s="375" t="s">
        <v>275</v>
      </c>
      <c r="R155" s="375" t="s">
        <v>291</v>
      </c>
      <c r="S155" s="380" t="s">
        <v>271</v>
      </c>
      <c r="T155" s="154">
        <v>5</v>
      </c>
      <c r="U155" s="154">
        <v>5</v>
      </c>
      <c r="V155" s="154">
        <v>5</v>
      </c>
      <c r="W155" s="154">
        <v>5</v>
      </c>
      <c r="X155" s="154">
        <v>5</v>
      </c>
      <c r="Y155" s="154">
        <v>5</v>
      </c>
      <c r="Z155" s="154">
        <f t="shared" si="64"/>
        <v>100</v>
      </c>
      <c r="AA155" s="405">
        <f t="shared" si="47"/>
        <v>90000</v>
      </c>
      <c r="AB155" s="405">
        <f t="shared" si="48"/>
        <v>54000</v>
      </c>
      <c r="AC155" s="407">
        <f t="shared" si="49"/>
        <v>800</v>
      </c>
      <c r="AD155" s="343"/>
      <c r="AE155" s="343"/>
      <c r="AF155" s="343"/>
      <c r="AG155" s="343"/>
      <c r="AH155" s="381"/>
      <c r="AI155" s="381"/>
      <c r="AJ155" s="381"/>
      <c r="AK155" s="381"/>
      <c r="AW155" s="217">
        <f t="shared" si="50"/>
        <v>5</v>
      </c>
      <c r="AX155" s="217">
        <f t="shared" si="51"/>
        <v>5</v>
      </c>
      <c r="AY155" s="217">
        <f t="shared" si="52"/>
        <v>5</v>
      </c>
      <c r="AZ155" s="217">
        <f t="shared" si="53"/>
        <v>5</v>
      </c>
      <c r="BA155" s="217">
        <f t="shared" si="54"/>
        <v>5</v>
      </c>
      <c r="BB155" s="217">
        <f t="shared" si="55"/>
        <v>5</v>
      </c>
      <c r="BC155" s="217">
        <f t="shared" si="56"/>
        <v>75</v>
      </c>
      <c r="BD155" s="217"/>
      <c r="BE155" s="217">
        <f t="shared" si="57"/>
        <v>5</v>
      </c>
      <c r="BF155" s="217">
        <f t="shared" si="58"/>
        <v>5</v>
      </c>
      <c r="BG155" s="217">
        <f t="shared" si="59"/>
        <v>5</v>
      </c>
      <c r="BH155" s="217">
        <f t="shared" si="60"/>
        <v>5</v>
      </c>
      <c r="BI155" s="217">
        <f t="shared" si="61"/>
        <v>5</v>
      </c>
      <c r="BJ155" s="217">
        <f t="shared" si="62"/>
        <v>5</v>
      </c>
      <c r="BK155" s="217">
        <f t="shared" si="63"/>
        <v>75</v>
      </c>
    </row>
    <row r="156" spans="2:63" s="372" customFormat="1" ht="30" customHeight="1" x14ac:dyDescent="0.35">
      <c r="B156" s="373" t="s">
        <v>692</v>
      </c>
      <c r="C156" s="374" t="s">
        <v>694</v>
      </c>
      <c r="D156" s="375" t="s">
        <v>684</v>
      </c>
      <c r="E156" s="375" t="s">
        <v>684</v>
      </c>
      <c r="F156" s="383">
        <f>7+26/60+7/3600</f>
        <v>7.4352777777777783</v>
      </c>
      <c r="G156" s="383">
        <f>134+30/60+59/3600</f>
        <v>134.51638888888888</v>
      </c>
      <c r="H156" s="383">
        <f>7+25/60+57/3600</f>
        <v>7.4325000000000001</v>
      </c>
      <c r="I156" s="383">
        <f>134+29/60+44/3600</f>
        <v>134.49555555555554</v>
      </c>
      <c r="J156" s="375" t="s">
        <v>99</v>
      </c>
      <c r="K156" s="377">
        <v>2005</v>
      </c>
      <c r="L156" s="375" t="s">
        <v>311</v>
      </c>
      <c r="M156" s="378">
        <v>2580</v>
      </c>
      <c r="N156" s="379">
        <v>7.3</v>
      </c>
      <c r="O156" s="375">
        <v>2</v>
      </c>
      <c r="P156" s="375" t="s">
        <v>272</v>
      </c>
      <c r="Q156" s="375" t="s">
        <v>503</v>
      </c>
      <c r="R156" s="375" t="s">
        <v>92</v>
      </c>
      <c r="S156" s="380" t="s">
        <v>92</v>
      </c>
      <c r="T156" s="154">
        <v>3</v>
      </c>
      <c r="U156" s="154">
        <v>2</v>
      </c>
      <c r="V156" s="154">
        <v>1</v>
      </c>
      <c r="W156" s="154">
        <v>3</v>
      </c>
      <c r="X156" s="154" t="s">
        <v>311</v>
      </c>
      <c r="Y156" s="154">
        <v>3</v>
      </c>
      <c r="Z156" s="154">
        <f t="shared" si="64"/>
        <v>52</v>
      </c>
      <c r="AA156" s="405">
        <f t="shared" si="47"/>
        <v>1290000</v>
      </c>
      <c r="AB156" s="405">
        <f t="shared" si="48"/>
        <v>774000</v>
      </c>
      <c r="AC156" s="407">
        <f t="shared" si="49"/>
        <v>11600</v>
      </c>
      <c r="AD156" s="343"/>
      <c r="AE156" s="343"/>
      <c r="AF156" s="343"/>
      <c r="AG156" s="343"/>
      <c r="AH156" s="381"/>
      <c r="AI156" s="381">
        <f t="shared" si="66"/>
        <v>774000</v>
      </c>
      <c r="AJ156" s="381">
        <f t="shared" si="65"/>
        <v>258000</v>
      </c>
      <c r="AK156" s="381"/>
      <c r="AW156" s="217">
        <f t="shared" si="50"/>
        <v>3</v>
      </c>
      <c r="AX156" s="217">
        <f t="shared" si="51"/>
        <v>2</v>
      </c>
      <c r="AY156" s="217">
        <f t="shared" si="52"/>
        <v>1</v>
      </c>
      <c r="AZ156" s="217">
        <f t="shared" si="53"/>
        <v>3</v>
      </c>
      <c r="BA156" s="217">
        <f t="shared" si="54"/>
        <v>0</v>
      </c>
      <c r="BB156" s="217">
        <f t="shared" si="55"/>
        <v>3</v>
      </c>
      <c r="BC156" s="217">
        <f t="shared" si="56"/>
        <v>36</v>
      </c>
      <c r="BD156" s="217"/>
      <c r="BE156" s="217">
        <f t="shared" si="57"/>
        <v>5</v>
      </c>
      <c r="BF156" s="217">
        <f t="shared" si="58"/>
        <v>5</v>
      </c>
      <c r="BG156" s="217">
        <f t="shared" si="59"/>
        <v>5</v>
      </c>
      <c r="BH156" s="217">
        <f t="shared" si="60"/>
        <v>5</v>
      </c>
      <c r="BI156" s="217">
        <f t="shared" si="61"/>
        <v>0</v>
      </c>
      <c r="BJ156" s="217">
        <f t="shared" si="62"/>
        <v>5</v>
      </c>
      <c r="BK156" s="217">
        <f t="shared" si="63"/>
        <v>70</v>
      </c>
    </row>
    <row r="157" spans="2:63" s="372" customFormat="1" ht="30" customHeight="1" x14ac:dyDescent="0.35">
      <c r="B157" s="373" t="s">
        <v>695</v>
      </c>
      <c r="C157" s="374" t="s">
        <v>696</v>
      </c>
      <c r="D157" s="375" t="s">
        <v>684</v>
      </c>
      <c r="E157" s="375" t="s">
        <v>697</v>
      </c>
      <c r="F157" s="383">
        <f>7+25/60+57/3600</f>
        <v>7.4325000000000001</v>
      </c>
      <c r="G157" s="383">
        <f>134+29/60+44/3600</f>
        <v>134.49555555555554</v>
      </c>
      <c r="H157" s="383">
        <f>7+25/60+45/3600</f>
        <v>7.4291666666666671</v>
      </c>
      <c r="I157" s="383">
        <f>134+29/60+47/3600</f>
        <v>134.49638888888887</v>
      </c>
      <c r="J157" s="375" t="s">
        <v>99</v>
      </c>
      <c r="K157" s="377">
        <v>2005</v>
      </c>
      <c r="L157" s="375" t="s">
        <v>311</v>
      </c>
      <c r="M157" s="378">
        <v>550</v>
      </c>
      <c r="N157" s="379">
        <v>7.3</v>
      </c>
      <c r="O157" s="375">
        <v>2</v>
      </c>
      <c r="P157" s="375" t="s">
        <v>272</v>
      </c>
      <c r="Q157" s="375" t="s">
        <v>503</v>
      </c>
      <c r="R157" s="375" t="s">
        <v>92</v>
      </c>
      <c r="S157" s="380" t="s">
        <v>92</v>
      </c>
      <c r="T157" s="154">
        <v>3</v>
      </c>
      <c r="U157" s="154">
        <v>2</v>
      </c>
      <c r="V157" s="154">
        <v>1</v>
      </c>
      <c r="W157" s="154">
        <v>3</v>
      </c>
      <c r="X157" s="154" t="s">
        <v>311</v>
      </c>
      <c r="Y157" s="154">
        <v>3</v>
      </c>
      <c r="Z157" s="154">
        <f t="shared" si="64"/>
        <v>52</v>
      </c>
      <c r="AA157" s="405">
        <f t="shared" si="47"/>
        <v>275000</v>
      </c>
      <c r="AB157" s="405">
        <f t="shared" si="48"/>
        <v>165000</v>
      </c>
      <c r="AC157" s="407">
        <f t="shared" si="49"/>
        <v>2500</v>
      </c>
      <c r="AD157" s="343"/>
      <c r="AE157" s="343"/>
      <c r="AF157" s="343"/>
      <c r="AG157" s="343"/>
      <c r="AH157" s="381"/>
      <c r="AI157" s="381">
        <f t="shared" si="66"/>
        <v>165000</v>
      </c>
      <c r="AJ157" s="381">
        <f t="shared" si="65"/>
        <v>55000</v>
      </c>
      <c r="AK157" s="381"/>
      <c r="AW157" s="217">
        <f t="shared" si="50"/>
        <v>3</v>
      </c>
      <c r="AX157" s="217">
        <f t="shared" si="51"/>
        <v>2</v>
      </c>
      <c r="AY157" s="217">
        <f t="shared" si="52"/>
        <v>1</v>
      </c>
      <c r="AZ157" s="217">
        <f t="shared" si="53"/>
        <v>3</v>
      </c>
      <c r="BA157" s="217">
        <f t="shared" si="54"/>
        <v>0</v>
      </c>
      <c r="BB157" s="217">
        <f t="shared" si="55"/>
        <v>3</v>
      </c>
      <c r="BC157" s="217">
        <f t="shared" si="56"/>
        <v>36</v>
      </c>
      <c r="BD157" s="217"/>
      <c r="BE157" s="217">
        <f t="shared" si="57"/>
        <v>5</v>
      </c>
      <c r="BF157" s="217">
        <f t="shared" si="58"/>
        <v>5</v>
      </c>
      <c r="BG157" s="217">
        <f t="shared" si="59"/>
        <v>5</v>
      </c>
      <c r="BH157" s="217">
        <f t="shared" si="60"/>
        <v>5</v>
      </c>
      <c r="BI157" s="217">
        <f t="shared" si="61"/>
        <v>0</v>
      </c>
      <c r="BJ157" s="217">
        <f t="shared" si="62"/>
        <v>5</v>
      </c>
      <c r="BK157" s="217">
        <f t="shared" si="63"/>
        <v>70</v>
      </c>
    </row>
    <row r="158" spans="2:63" s="372" customFormat="1" ht="30" customHeight="1" x14ac:dyDescent="0.35">
      <c r="B158" s="373" t="s">
        <v>698</v>
      </c>
      <c r="C158" s="374" t="s">
        <v>699</v>
      </c>
      <c r="D158" s="375" t="s">
        <v>697</v>
      </c>
      <c r="E158" s="375" t="s">
        <v>697</v>
      </c>
      <c r="F158" s="383">
        <f>7+25/60+45/3600</f>
        <v>7.4291666666666671</v>
      </c>
      <c r="G158" s="383">
        <f>134+29/60+47/3600</f>
        <v>134.49638888888887</v>
      </c>
      <c r="H158" s="383">
        <f>7+25/60+28/3600</f>
        <v>7.4244444444444451</v>
      </c>
      <c r="I158" s="383">
        <f>134+29/60+46/3600</f>
        <v>134.49611111111111</v>
      </c>
      <c r="J158" s="375" t="s">
        <v>99</v>
      </c>
      <c r="K158" s="377">
        <v>2019</v>
      </c>
      <c r="L158" s="375" t="s">
        <v>311</v>
      </c>
      <c r="M158" s="378">
        <v>525</v>
      </c>
      <c r="N158" s="379">
        <v>7.3</v>
      </c>
      <c r="O158" s="375">
        <v>2</v>
      </c>
      <c r="P158" s="375" t="s">
        <v>272</v>
      </c>
      <c r="Q158" s="375" t="s">
        <v>275</v>
      </c>
      <c r="R158" s="375" t="s">
        <v>291</v>
      </c>
      <c r="S158" s="380" t="s">
        <v>271</v>
      </c>
      <c r="T158" s="154">
        <v>5</v>
      </c>
      <c r="U158" s="154">
        <v>5</v>
      </c>
      <c r="V158" s="154">
        <v>5</v>
      </c>
      <c r="W158" s="154">
        <v>5</v>
      </c>
      <c r="X158" s="154">
        <v>5</v>
      </c>
      <c r="Y158" s="154">
        <v>5</v>
      </c>
      <c r="Z158" s="154">
        <f t="shared" si="64"/>
        <v>100</v>
      </c>
      <c r="AA158" s="405">
        <f t="shared" si="47"/>
        <v>262500</v>
      </c>
      <c r="AB158" s="405">
        <f t="shared" si="48"/>
        <v>157500</v>
      </c>
      <c r="AC158" s="407">
        <f t="shared" si="49"/>
        <v>2400</v>
      </c>
      <c r="AD158" s="343"/>
      <c r="AE158" s="343"/>
      <c r="AF158" s="343"/>
      <c r="AG158" s="343"/>
      <c r="AH158" s="381"/>
      <c r="AI158" s="381"/>
      <c r="AJ158" s="381"/>
      <c r="AK158" s="381"/>
      <c r="AW158" s="217">
        <f t="shared" si="50"/>
        <v>5</v>
      </c>
      <c r="AX158" s="217">
        <f t="shared" si="51"/>
        <v>5</v>
      </c>
      <c r="AY158" s="217">
        <f t="shared" si="52"/>
        <v>5</v>
      </c>
      <c r="AZ158" s="217">
        <f t="shared" si="53"/>
        <v>5</v>
      </c>
      <c r="BA158" s="217">
        <f t="shared" si="54"/>
        <v>5</v>
      </c>
      <c r="BB158" s="217">
        <f t="shared" si="55"/>
        <v>5</v>
      </c>
      <c r="BC158" s="217">
        <f t="shared" si="56"/>
        <v>75</v>
      </c>
      <c r="BD158" s="217"/>
      <c r="BE158" s="217">
        <f t="shared" si="57"/>
        <v>5</v>
      </c>
      <c r="BF158" s="217">
        <f t="shared" si="58"/>
        <v>5</v>
      </c>
      <c r="BG158" s="217">
        <f t="shared" si="59"/>
        <v>5</v>
      </c>
      <c r="BH158" s="217">
        <f t="shared" si="60"/>
        <v>5</v>
      </c>
      <c r="BI158" s="217">
        <f t="shared" si="61"/>
        <v>5</v>
      </c>
      <c r="BJ158" s="217">
        <f t="shared" si="62"/>
        <v>5</v>
      </c>
      <c r="BK158" s="217">
        <f t="shared" si="63"/>
        <v>75</v>
      </c>
    </row>
    <row r="159" spans="2:63" s="372" customFormat="1" ht="30" customHeight="1" x14ac:dyDescent="0.35">
      <c r="B159" s="373" t="s">
        <v>700</v>
      </c>
      <c r="C159" s="374" t="s">
        <v>701</v>
      </c>
      <c r="D159" s="375" t="s">
        <v>697</v>
      </c>
      <c r="E159" s="375" t="s">
        <v>697</v>
      </c>
      <c r="F159" s="383">
        <f>7+25/60+28/3600</f>
        <v>7.4244444444444451</v>
      </c>
      <c r="G159" s="383">
        <f>134+29/60+46/3600</f>
        <v>134.49611111111111</v>
      </c>
      <c r="H159" s="383">
        <f>7+25/60+22/3600</f>
        <v>7.4227777777777781</v>
      </c>
      <c r="I159" s="383">
        <f>134+29/60+47/3600</f>
        <v>134.49638888888887</v>
      </c>
      <c r="J159" s="375" t="s">
        <v>99</v>
      </c>
      <c r="K159" s="377">
        <v>2017</v>
      </c>
      <c r="L159" s="375" t="s">
        <v>311</v>
      </c>
      <c r="M159" s="378">
        <v>180</v>
      </c>
      <c r="N159" s="379">
        <v>7.3</v>
      </c>
      <c r="O159" s="375">
        <v>2</v>
      </c>
      <c r="P159" s="375" t="s">
        <v>272</v>
      </c>
      <c r="Q159" s="375" t="s">
        <v>275</v>
      </c>
      <c r="R159" s="375" t="s">
        <v>291</v>
      </c>
      <c r="S159" s="380" t="s">
        <v>271</v>
      </c>
      <c r="T159" s="154">
        <v>5</v>
      </c>
      <c r="U159" s="154">
        <v>5</v>
      </c>
      <c r="V159" s="154">
        <v>5</v>
      </c>
      <c r="W159" s="154">
        <v>5</v>
      </c>
      <c r="X159" s="154">
        <v>5</v>
      </c>
      <c r="Y159" s="154">
        <v>5</v>
      </c>
      <c r="Z159" s="154">
        <f t="shared" si="64"/>
        <v>100</v>
      </c>
      <c r="AA159" s="405">
        <f t="shared" si="47"/>
        <v>90000</v>
      </c>
      <c r="AB159" s="405">
        <f t="shared" si="48"/>
        <v>54000</v>
      </c>
      <c r="AC159" s="407">
        <f t="shared" si="49"/>
        <v>800</v>
      </c>
      <c r="AD159" s="343"/>
      <c r="AE159" s="343"/>
      <c r="AF159" s="343"/>
      <c r="AG159" s="343"/>
      <c r="AH159" s="381"/>
      <c r="AI159" s="381"/>
      <c r="AJ159" s="381"/>
      <c r="AK159" s="381"/>
      <c r="AW159" s="217">
        <f t="shared" si="50"/>
        <v>5</v>
      </c>
      <c r="AX159" s="217">
        <f t="shared" si="51"/>
        <v>5</v>
      </c>
      <c r="AY159" s="217">
        <f t="shared" si="52"/>
        <v>5</v>
      </c>
      <c r="AZ159" s="217">
        <f t="shared" si="53"/>
        <v>5</v>
      </c>
      <c r="BA159" s="217">
        <f t="shared" si="54"/>
        <v>5</v>
      </c>
      <c r="BB159" s="217">
        <f t="shared" si="55"/>
        <v>5</v>
      </c>
      <c r="BC159" s="217">
        <f t="shared" si="56"/>
        <v>75</v>
      </c>
      <c r="BD159" s="217"/>
      <c r="BE159" s="217">
        <f t="shared" si="57"/>
        <v>5</v>
      </c>
      <c r="BF159" s="217">
        <f t="shared" si="58"/>
        <v>5</v>
      </c>
      <c r="BG159" s="217">
        <f t="shared" si="59"/>
        <v>5</v>
      </c>
      <c r="BH159" s="217">
        <f t="shared" si="60"/>
        <v>5</v>
      </c>
      <c r="BI159" s="217">
        <f t="shared" si="61"/>
        <v>5</v>
      </c>
      <c r="BJ159" s="217">
        <f t="shared" si="62"/>
        <v>5</v>
      </c>
      <c r="BK159" s="217">
        <f t="shared" si="63"/>
        <v>75</v>
      </c>
    </row>
    <row r="160" spans="2:63" s="372" customFormat="1" ht="30" customHeight="1" x14ac:dyDescent="0.35">
      <c r="B160" s="373" t="s">
        <v>702</v>
      </c>
      <c r="C160" s="374" t="s">
        <v>703</v>
      </c>
      <c r="D160" s="375" t="s">
        <v>697</v>
      </c>
      <c r="E160" s="375" t="s">
        <v>697</v>
      </c>
      <c r="F160" s="383">
        <f>7+25/60+22/3600</f>
        <v>7.4227777777777781</v>
      </c>
      <c r="G160" s="383">
        <f>134+29/60+47/3600</f>
        <v>134.49638888888887</v>
      </c>
      <c r="H160" s="383">
        <f>7+25/60+18/3600</f>
        <v>7.4216666666666669</v>
      </c>
      <c r="I160" s="383">
        <f>134+29/60+47/3600</f>
        <v>134.49638888888887</v>
      </c>
      <c r="J160" s="375" t="s">
        <v>99</v>
      </c>
      <c r="K160" s="377">
        <v>2016</v>
      </c>
      <c r="L160" s="375" t="s">
        <v>311</v>
      </c>
      <c r="M160" s="378">
        <v>175</v>
      </c>
      <c r="N160" s="379">
        <v>7.3</v>
      </c>
      <c r="O160" s="375">
        <v>2</v>
      </c>
      <c r="P160" s="375" t="s">
        <v>272</v>
      </c>
      <c r="Q160" s="375" t="s">
        <v>275</v>
      </c>
      <c r="R160" s="375" t="s">
        <v>291</v>
      </c>
      <c r="S160" s="380" t="s">
        <v>271</v>
      </c>
      <c r="T160" s="154">
        <v>5</v>
      </c>
      <c r="U160" s="154">
        <v>5</v>
      </c>
      <c r="V160" s="154">
        <v>5</v>
      </c>
      <c r="W160" s="154">
        <v>5</v>
      </c>
      <c r="X160" s="154">
        <v>5</v>
      </c>
      <c r="Y160" s="154">
        <v>5</v>
      </c>
      <c r="Z160" s="154">
        <f t="shared" si="64"/>
        <v>100</v>
      </c>
      <c r="AA160" s="405">
        <f t="shared" si="47"/>
        <v>87500</v>
      </c>
      <c r="AB160" s="405">
        <f t="shared" si="48"/>
        <v>52500</v>
      </c>
      <c r="AC160" s="407">
        <f t="shared" si="49"/>
        <v>800</v>
      </c>
      <c r="AD160" s="343"/>
      <c r="AE160" s="343"/>
      <c r="AF160" s="343"/>
      <c r="AG160" s="343"/>
      <c r="AH160" s="381"/>
      <c r="AI160" s="381"/>
      <c r="AJ160" s="381"/>
      <c r="AK160" s="381"/>
      <c r="AW160" s="217">
        <f t="shared" si="50"/>
        <v>5</v>
      </c>
      <c r="AX160" s="217">
        <f t="shared" si="51"/>
        <v>5</v>
      </c>
      <c r="AY160" s="217">
        <f t="shared" si="52"/>
        <v>5</v>
      </c>
      <c r="AZ160" s="217">
        <f t="shared" si="53"/>
        <v>5</v>
      </c>
      <c r="BA160" s="217">
        <f t="shared" si="54"/>
        <v>5</v>
      </c>
      <c r="BB160" s="217">
        <f t="shared" si="55"/>
        <v>5</v>
      </c>
      <c r="BC160" s="217">
        <f t="shared" si="56"/>
        <v>75</v>
      </c>
      <c r="BD160" s="217"/>
      <c r="BE160" s="217">
        <f t="shared" si="57"/>
        <v>5</v>
      </c>
      <c r="BF160" s="217">
        <f t="shared" si="58"/>
        <v>5</v>
      </c>
      <c r="BG160" s="217">
        <f t="shared" si="59"/>
        <v>5</v>
      </c>
      <c r="BH160" s="217">
        <f t="shared" si="60"/>
        <v>5</v>
      </c>
      <c r="BI160" s="217">
        <f t="shared" si="61"/>
        <v>5</v>
      </c>
      <c r="BJ160" s="217">
        <f t="shared" si="62"/>
        <v>5</v>
      </c>
      <c r="BK160" s="217">
        <f t="shared" si="63"/>
        <v>75</v>
      </c>
    </row>
    <row r="161" spans="2:63" s="372" customFormat="1" ht="30" customHeight="1" x14ac:dyDescent="0.35">
      <c r="B161" s="373" t="s">
        <v>704</v>
      </c>
      <c r="C161" s="374" t="s">
        <v>705</v>
      </c>
      <c r="D161" s="375" t="s">
        <v>697</v>
      </c>
      <c r="E161" s="375" t="s">
        <v>697</v>
      </c>
      <c r="F161" s="383">
        <f>7+25/60+22/3600</f>
        <v>7.4227777777777781</v>
      </c>
      <c r="G161" s="383">
        <f>134+29/60+47/3600</f>
        <v>134.49638888888887</v>
      </c>
      <c r="H161" s="383">
        <f>7+25/60+18/3600</f>
        <v>7.4216666666666669</v>
      </c>
      <c r="I161" s="383">
        <f>134+29/60+47/3600</f>
        <v>134.49638888888887</v>
      </c>
      <c r="J161" s="375" t="s">
        <v>99</v>
      </c>
      <c r="K161" s="377">
        <v>2015</v>
      </c>
      <c r="L161" s="375" t="s">
        <v>311</v>
      </c>
      <c r="M161" s="378">
        <v>190</v>
      </c>
      <c r="N161" s="379">
        <v>7.3</v>
      </c>
      <c r="O161" s="375">
        <v>2</v>
      </c>
      <c r="P161" s="375" t="s">
        <v>272</v>
      </c>
      <c r="Q161" s="375" t="s">
        <v>275</v>
      </c>
      <c r="R161" s="375" t="s">
        <v>291</v>
      </c>
      <c r="S161" s="380" t="s">
        <v>271</v>
      </c>
      <c r="T161" s="154">
        <v>5</v>
      </c>
      <c r="U161" s="154">
        <v>5</v>
      </c>
      <c r="V161" s="154">
        <v>5</v>
      </c>
      <c r="W161" s="154">
        <v>5</v>
      </c>
      <c r="X161" s="154">
        <v>5</v>
      </c>
      <c r="Y161" s="154">
        <v>5</v>
      </c>
      <c r="Z161" s="154">
        <f t="shared" si="64"/>
        <v>100</v>
      </c>
      <c r="AA161" s="405">
        <f t="shared" si="47"/>
        <v>95000</v>
      </c>
      <c r="AB161" s="405">
        <f t="shared" si="48"/>
        <v>57000</v>
      </c>
      <c r="AC161" s="407">
        <f t="shared" si="49"/>
        <v>900</v>
      </c>
      <c r="AD161" s="343"/>
      <c r="AE161" s="343"/>
      <c r="AF161" s="343"/>
      <c r="AG161" s="343"/>
      <c r="AH161" s="381"/>
      <c r="AI161" s="381"/>
      <c r="AJ161" s="381"/>
      <c r="AK161" s="381"/>
      <c r="AW161" s="217">
        <f t="shared" si="50"/>
        <v>5</v>
      </c>
      <c r="AX161" s="217">
        <f t="shared" si="51"/>
        <v>5</v>
      </c>
      <c r="AY161" s="217">
        <f t="shared" si="52"/>
        <v>5</v>
      </c>
      <c r="AZ161" s="217">
        <f t="shared" si="53"/>
        <v>5</v>
      </c>
      <c r="BA161" s="217">
        <f t="shared" si="54"/>
        <v>5</v>
      </c>
      <c r="BB161" s="217">
        <f t="shared" si="55"/>
        <v>5</v>
      </c>
      <c r="BC161" s="217">
        <f t="shared" si="56"/>
        <v>75</v>
      </c>
      <c r="BD161" s="217"/>
      <c r="BE161" s="217">
        <f t="shared" si="57"/>
        <v>5</v>
      </c>
      <c r="BF161" s="217">
        <f t="shared" si="58"/>
        <v>5</v>
      </c>
      <c r="BG161" s="217">
        <f t="shared" si="59"/>
        <v>5</v>
      </c>
      <c r="BH161" s="217">
        <f t="shared" si="60"/>
        <v>5</v>
      </c>
      <c r="BI161" s="217">
        <f t="shared" si="61"/>
        <v>5</v>
      </c>
      <c r="BJ161" s="217">
        <f t="shared" si="62"/>
        <v>5</v>
      </c>
      <c r="BK161" s="217">
        <f t="shared" si="63"/>
        <v>75</v>
      </c>
    </row>
    <row r="162" spans="2:63" s="372" customFormat="1" ht="30" customHeight="1" x14ac:dyDescent="0.35">
      <c r="B162" s="373" t="s">
        <v>706</v>
      </c>
      <c r="C162" s="374" t="s">
        <v>707</v>
      </c>
      <c r="D162" s="375" t="s">
        <v>697</v>
      </c>
      <c r="E162" s="375" t="s">
        <v>697</v>
      </c>
      <c r="F162" s="383">
        <f>7+25/60+22/3600</f>
        <v>7.4227777777777781</v>
      </c>
      <c r="G162" s="383">
        <f>134+29/60+47/3600</f>
        <v>134.49638888888887</v>
      </c>
      <c r="H162" s="383">
        <f>7+25/60+18/3600</f>
        <v>7.4216666666666669</v>
      </c>
      <c r="I162" s="383">
        <f>134+29/60+47/3600</f>
        <v>134.49638888888887</v>
      </c>
      <c r="J162" s="375" t="s">
        <v>99</v>
      </c>
      <c r="K162" s="377">
        <v>2006</v>
      </c>
      <c r="L162" s="375" t="s">
        <v>311</v>
      </c>
      <c r="M162" s="378">
        <v>320</v>
      </c>
      <c r="N162" s="379">
        <v>7.3</v>
      </c>
      <c r="O162" s="375">
        <v>2</v>
      </c>
      <c r="P162" s="375" t="s">
        <v>272</v>
      </c>
      <c r="Q162" s="375" t="s">
        <v>275</v>
      </c>
      <c r="R162" s="375" t="s">
        <v>291</v>
      </c>
      <c r="S162" s="380" t="s">
        <v>271</v>
      </c>
      <c r="T162" s="154">
        <v>4</v>
      </c>
      <c r="U162" s="154">
        <v>5</v>
      </c>
      <c r="V162" s="154">
        <v>4</v>
      </c>
      <c r="W162" s="154">
        <v>4</v>
      </c>
      <c r="X162" s="154">
        <v>4</v>
      </c>
      <c r="Y162" s="154">
        <v>4</v>
      </c>
      <c r="Z162" s="154">
        <f t="shared" si="64"/>
        <v>86</v>
      </c>
      <c r="AA162" s="405">
        <f t="shared" si="47"/>
        <v>160000</v>
      </c>
      <c r="AB162" s="405">
        <f t="shared" si="48"/>
        <v>96000</v>
      </c>
      <c r="AC162" s="407">
        <f t="shared" si="49"/>
        <v>1400</v>
      </c>
      <c r="AD162" s="343"/>
      <c r="AE162" s="343"/>
      <c r="AF162" s="343"/>
      <c r="AG162" s="343"/>
      <c r="AH162" s="381"/>
      <c r="AI162" s="381"/>
      <c r="AJ162" s="381"/>
      <c r="AK162" s="381"/>
      <c r="AW162" s="217">
        <f t="shared" si="50"/>
        <v>4</v>
      </c>
      <c r="AX162" s="217">
        <f t="shared" si="51"/>
        <v>5</v>
      </c>
      <c r="AY162" s="217">
        <f t="shared" si="52"/>
        <v>4</v>
      </c>
      <c r="AZ162" s="217">
        <f t="shared" si="53"/>
        <v>4</v>
      </c>
      <c r="BA162" s="217">
        <f t="shared" si="54"/>
        <v>4</v>
      </c>
      <c r="BB162" s="217">
        <f t="shared" si="55"/>
        <v>4</v>
      </c>
      <c r="BC162" s="217">
        <f t="shared" si="56"/>
        <v>64</v>
      </c>
      <c r="BD162" s="217"/>
      <c r="BE162" s="217">
        <f t="shared" si="57"/>
        <v>5</v>
      </c>
      <c r="BF162" s="217">
        <f t="shared" si="58"/>
        <v>5</v>
      </c>
      <c r="BG162" s="217">
        <f t="shared" si="59"/>
        <v>5</v>
      </c>
      <c r="BH162" s="217">
        <f t="shared" si="60"/>
        <v>5</v>
      </c>
      <c r="BI162" s="217">
        <f t="shared" si="61"/>
        <v>5</v>
      </c>
      <c r="BJ162" s="217">
        <f t="shared" si="62"/>
        <v>5</v>
      </c>
      <c r="BK162" s="217">
        <f t="shared" si="63"/>
        <v>75</v>
      </c>
    </row>
    <row r="163" spans="2:63" s="372" customFormat="1" ht="30" customHeight="1" x14ac:dyDescent="0.35">
      <c r="B163" s="373" t="s">
        <v>708</v>
      </c>
      <c r="C163" s="374" t="s">
        <v>709</v>
      </c>
      <c r="D163" s="375" t="s">
        <v>684</v>
      </c>
      <c r="E163" s="375" t="s">
        <v>661</v>
      </c>
      <c r="F163" s="383">
        <f>7+26/60+11/3600</f>
        <v>7.4363888888888887</v>
      </c>
      <c r="G163" s="383">
        <f>134+30/60+57/3600</f>
        <v>134.51583333333335</v>
      </c>
      <c r="H163" s="383">
        <f>7+27/60+20/3600</f>
        <v>7.4555555555555557</v>
      </c>
      <c r="I163" s="383">
        <f>134+30/60+23/3600</f>
        <v>134.50638888888889</v>
      </c>
      <c r="J163" s="377" t="s">
        <v>277</v>
      </c>
      <c r="K163" s="377" t="s">
        <v>421</v>
      </c>
      <c r="L163" s="375" t="s">
        <v>311</v>
      </c>
      <c r="M163" s="378">
        <v>3315</v>
      </c>
      <c r="N163" s="379">
        <v>6.1</v>
      </c>
      <c r="O163" s="375">
        <v>2</v>
      </c>
      <c r="P163" s="375" t="s">
        <v>272</v>
      </c>
      <c r="Q163" s="375" t="s">
        <v>503</v>
      </c>
      <c r="R163" s="375" t="s">
        <v>92</v>
      </c>
      <c r="S163" s="380" t="s">
        <v>92</v>
      </c>
      <c r="T163" s="154">
        <v>2</v>
      </c>
      <c r="U163" s="154">
        <v>2</v>
      </c>
      <c r="V163" s="154">
        <v>1</v>
      </c>
      <c r="W163" s="154">
        <v>2</v>
      </c>
      <c r="X163" s="154" t="s">
        <v>311</v>
      </c>
      <c r="Y163" s="154">
        <v>2</v>
      </c>
      <c r="Z163" s="154">
        <f t="shared" si="64"/>
        <v>39</v>
      </c>
      <c r="AA163" s="405">
        <f t="shared" si="47"/>
        <v>1657500</v>
      </c>
      <c r="AB163" s="405">
        <f t="shared" si="48"/>
        <v>994500</v>
      </c>
      <c r="AC163" s="407">
        <f t="shared" si="49"/>
        <v>14900</v>
      </c>
      <c r="AD163" s="343"/>
      <c r="AE163" s="343"/>
      <c r="AF163" s="343"/>
      <c r="AG163" s="343"/>
      <c r="AH163" s="381">
        <f t="shared" ref="AH163:AH201" si="67">$M163*T$2</f>
        <v>663000</v>
      </c>
      <c r="AI163" s="381">
        <f t="shared" si="66"/>
        <v>994500</v>
      </c>
      <c r="AJ163" s="381">
        <f t="shared" si="65"/>
        <v>331500</v>
      </c>
      <c r="AK163" s="381"/>
      <c r="AW163" s="217">
        <f t="shared" si="50"/>
        <v>2</v>
      </c>
      <c r="AX163" s="217">
        <f t="shared" si="51"/>
        <v>2</v>
      </c>
      <c r="AY163" s="217">
        <f t="shared" si="52"/>
        <v>1</v>
      </c>
      <c r="AZ163" s="217">
        <f t="shared" si="53"/>
        <v>2</v>
      </c>
      <c r="BA163" s="217">
        <f t="shared" si="54"/>
        <v>0</v>
      </c>
      <c r="BB163" s="217">
        <f t="shared" si="55"/>
        <v>2</v>
      </c>
      <c r="BC163" s="217">
        <f t="shared" si="56"/>
        <v>27</v>
      </c>
      <c r="BD163" s="217"/>
      <c r="BE163" s="217">
        <f t="shared" si="57"/>
        <v>5</v>
      </c>
      <c r="BF163" s="217">
        <f t="shared" si="58"/>
        <v>5</v>
      </c>
      <c r="BG163" s="217">
        <f t="shared" si="59"/>
        <v>5</v>
      </c>
      <c r="BH163" s="217">
        <f t="shared" si="60"/>
        <v>5</v>
      </c>
      <c r="BI163" s="217">
        <f t="shared" si="61"/>
        <v>0</v>
      </c>
      <c r="BJ163" s="217">
        <f t="shared" si="62"/>
        <v>5</v>
      </c>
      <c r="BK163" s="217">
        <f t="shared" si="63"/>
        <v>70</v>
      </c>
    </row>
    <row r="164" spans="2:63" s="372" customFormat="1" ht="30" customHeight="1" x14ac:dyDescent="0.35">
      <c r="B164" s="373" t="s">
        <v>714</v>
      </c>
      <c r="C164" s="374" t="s">
        <v>710</v>
      </c>
      <c r="D164" s="375" t="s">
        <v>661</v>
      </c>
      <c r="E164" s="375" t="s">
        <v>740</v>
      </c>
      <c r="F164" s="383">
        <f>7+27/60+20/3600</f>
        <v>7.4555555555555557</v>
      </c>
      <c r="G164" s="383">
        <f>134+30/60+23/3600</f>
        <v>134.50638888888889</v>
      </c>
      <c r="H164" s="383">
        <f>7+26/60+38/3600</f>
        <v>7.443888888888889</v>
      </c>
      <c r="I164" s="383">
        <f>134+28/60+29/3600</f>
        <v>134.47472222222223</v>
      </c>
      <c r="J164" s="377" t="s">
        <v>277</v>
      </c>
      <c r="K164" s="377" t="s">
        <v>421</v>
      </c>
      <c r="L164" s="375" t="s">
        <v>311</v>
      </c>
      <c r="M164" s="378">
        <v>4335</v>
      </c>
      <c r="N164" s="379">
        <v>6.1</v>
      </c>
      <c r="O164" s="375">
        <v>2</v>
      </c>
      <c r="P164" s="375" t="s">
        <v>272</v>
      </c>
      <c r="Q164" s="375" t="s">
        <v>503</v>
      </c>
      <c r="R164" s="375" t="s">
        <v>92</v>
      </c>
      <c r="S164" s="380" t="s">
        <v>92</v>
      </c>
      <c r="T164" s="154">
        <v>3</v>
      </c>
      <c r="U164" s="154">
        <v>2</v>
      </c>
      <c r="V164" s="154">
        <v>1</v>
      </c>
      <c r="W164" s="154">
        <v>2</v>
      </c>
      <c r="X164" s="154" t="s">
        <v>311</v>
      </c>
      <c r="Y164" s="154">
        <v>2</v>
      </c>
      <c r="Z164" s="154">
        <f t="shared" si="64"/>
        <v>45</v>
      </c>
      <c r="AA164" s="405">
        <f t="shared" si="47"/>
        <v>2167500</v>
      </c>
      <c r="AB164" s="405">
        <f t="shared" si="48"/>
        <v>1300500</v>
      </c>
      <c r="AC164" s="407">
        <f t="shared" si="49"/>
        <v>19500</v>
      </c>
      <c r="AD164" s="343"/>
      <c r="AE164" s="343"/>
      <c r="AF164" s="343"/>
      <c r="AG164" s="343"/>
      <c r="AH164" s="381"/>
      <c r="AI164" s="381">
        <f t="shared" si="66"/>
        <v>1300500</v>
      </c>
      <c r="AJ164" s="381">
        <f t="shared" si="65"/>
        <v>433500</v>
      </c>
      <c r="AK164" s="381"/>
      <c r="AW164" s="217">
        <f t="shared" si="50"/>
        <v>3</v>
      </c>
      <c r="AX164" s="217">
        <f t="shared" si="51"/>
        <v>2</v>
      </c>
      <c r="AY164" s="217">
        <f t="shared" si="52"/>
        <v>1</v>
      </c>
      <c r="AZ164" s="217">
        <f t="shared" si="53"/>
        <v>2</v>
      </c>
      <c r="BA164" s="217">
        <f t="shared" si="54"/>
        <v>0</v>
      </c>
      <c r="BB164" s="217">
        <f t="shared" si="55"/>
        <v>2</v>
      </c>
      <c r="BC164" s="217">
        <f t="shared" si="56"/>
        <v>31</v>
      </c>
      <c r="BD164" s="217"/>
      <c r="BE164" s="217">
        <f t="shared" si="57"/>
        <v>5</v>
      </c>
      <c r="BF164" s="217">
        <f t="shared" si="58"/>
        <v>5</v>
      </c>
      <c r="BG164" s="217">
        <f t="shared" si="59"/>
        <v>5</v>
      </c>
      <c r="BH164" s="217">
        <f t="shared" si="60"/>
        <v>5</v>
      </c>
      <c r="BI164" s="217">
        <f t="shared" si="61"/>
        <v>0</v>
      </c>
      <c r="BJ164" s="217">
        <f t="shared" si="62"/>
        <v>5</v>
      </c>
      <c r="BK164" s="217">
        <f t="shared" si="63"/>
        <v>70</v>
      </c>
    </row>
    <row r="165" spans="2:63" s="372" customFormat="1" ht="30" customHeight="1" x14ac:dyDescent="0.35">
      <c r="B165" s="373" t="s">
        <v>715</v>
      </c>
      <c r="C165" s="374" t="s">
        <v>712</v>
      </c>
      <c r="D165" s="375" t="s">
        <v>713</v>
      </c>
      <c r="E165" s="375" t="s">
        <v>697</v>
      </c>
      <c r="F165" s="383">
        <f>7+26/60+53/3600</f>
        <v>7.4480555555555554</v>
      </c>
      <c r="G165" s="383">
        <f>134+29/60+8/3600</f>
        <v>134.48555555555555</v>
      </c>
      <c r="H165" s="383">
        <f>7+25/60+57/3600</f>
        <v>7.4325000000000001</v>
      </c>
      <c r="I165" s="383">
        <f>134+29/60+43/3600</f>
        <v>134.49527777777777</v>
      </c>
      <c r="J165" s="377" t="s">
        <v>277</v>
      </c>
      <c r="K165" s="377" t="s">
        <v>421</v>
      </c>
      <c r="L165" s="375" t="s">
        <v>311</v>
      </c>
      <c r="M165" s="378">
        <v>3130</v>
      </c>
      <c r="N165" s="379">
        <v>6.1</v>
      </c>
      <c r="O165" s="375">
        <v>2</v>
      </c>
      <c r="P165" s="375" t="s">
        <v>272</v>
      </c>
      <c r="Q165" s="375" t="s">
        <v>503</v>
      </c>
      <c r="R165" s="375" t="s">
        <v>92</v>
      </c>
      <c r="S165" s="380" t="s">
        <v>92</v>
      </c>
      <c r="T165" s="154">
        <v>2</v>
      </c>
      <c r="U165" s="154">
        <v>2</v>
      </c>
      <c r="V165" s="154">
        <v>1</v>
      </c>
      <c r="W165" s="154">
        <v>2</v>
      </c>
      <c r="X165" s="154" t="s">
        <v>311</v>
      </c>
      <c r="Y165" s="154">
        <v>2</v>
      </c>
      <c r="Z165" s="154">
        <f t="shared" si="64"/>
        <v>39</v>
      </c>
      <c r="AA165" s="405">
        <f t="shared" si="47"/>
        <v>1565000</v>
      </c>
      <c r="AB165" s="405">
        <f t="shared" si="48"/>
        <v>939000</v>
      </c>
      <c r="AC165" s="407">
        <f t="shared" si="49"/>
        <v>14100</v>
      </c>
      <c r="AD165" s="343"/>
      <c r="AE165" s="343"/>
      <c r="AF165" s="343"/>
      <c r="AG165" s="343"/>
      <c r="AH165" s="381">
        <f t="shared" si="67"/>
        <v>626000</v>
      </c>
      <c r="AI165" s="381">
        <f t="shared" si="66"/>
        <v>939000</v>
      </c>
      <c r="AJ165" s="381">
        <f t="shared" si="65"/>
        <v>313000</v>
      </c>
      <c r="AK165" s="381"/>
      <c r="AW165" s="217">
        <f t="shared" si="50"/>
        <v>2</v>
      </c>
      <c r="AX165" s="217">
        <f t="shared" si="51"/>
        <v>2</v>
      </c>
      <c r="AY165" s="217">
        <f t="shared" si="52"/>
        <v>1</v>
      </c>
      <c r="AZ165" s="217">
        <f t="shared" si="53"/>
        <v>2</v>
      </c>
      <c r="BA165" s="217">
        <f t="shared" si="54"/>
        <v>0</v>
      </c>
      <c r="BB165" s="217">
        <f t="shared" si="55"/>
        <v>2</v>
      </c>
      <c r="BC165" s="217">
        <f t="shared" si="56"/>
        <v>27</v>
      </c>
      <c r="BD165" s="217"/>
      <c r="BE165" s="217">
        <f t="shared" si="57"/>
        <v>5</v>
      </c>
      <c r="BF165" s="217">
        <f t="shared" si="58"/>
        <v>5</v>
      </c>
      <c r="BG165" s="217">
        <f t="shared" si="59"/>
        <v>5</v>
      </c>
      <c r="BH165" s="217">
        <f t="shared" si="60"/>
        <v>5</v>
      </c>
      <c r="BI165" s="217">
        <f t="shared" si="61"/>
        <v>0</v>
      </c>
      <c r="BJ165" s="217">
        <f t="shared" si="62"/>
        <v>5</v>
      </c>
      <c r="BK165" s="217">
        <f t="shared" si="63"/>
        <v>70</v>
      </c>
    </row>
    <row r="166" spans="2:63" s="372" customFormat="1" ht="30" customHeight="1" x14ac:dyDescent="0.35">
      <c r="B166" s="373" t="s">
        <v>716</v>
      </c>
      <c r="C166" s="374" t="s">
        <v>717</v>
      </c>
      <c r="D166" s="375" t="s">
        <v>718</v>
      </c>
      <c r="E166" s="375" t="s">
        <v>718</v>
      </c>
      <c r="F166" s="383">
        <f>7+26/60+10/3600</f>
        <v>7.4361111111111118</v>
      </c>
      <c r="G166" s="383">
        <f>134+29/60+34/3600</f>
        <v>134.49277777777777</v>
      </c>
      <c r="H166" s="383">
        <f>7+25/60+50/3600</f>
        <v>7.4305555555555562</v>
      </c>
      <c r="I166" s="383">
        <f>134+28/60+54/3600</f>
        <v>134.48166666666665</v>
      </c>
      <c r="J166" s="377" t="s">
        <v>277</v>
      </c>
      <c r="K166" s="377" t="s">
        <v>421</v>
      </c>
      <c r="L166" s="375" t="s">
        <v>311</v>
      </c>
      <c r="M166" s="378">
        <v>21350</v>
      </c>
      <c r="N166" s="379">
        <v>6.1</v>
      </c>
      <c r="O166" s="375">
        <v>2</v>
      </c>
      <c r="P166" s="375" t="s">
        <v>272</v>
      </c>
      <c r="Q166" s="375" t="s">
        <v>503</v>
      </c>
      <c r="R166" s="375" t="s">
        <v>92</v>
      </c>
      <c r="S166" s="380" t="s">
        <v>92</v>
      </c>
      <c r="T166" s="154">
        <v>2</v>
      </c>
      <c r="U166" s="154">
        <v>2</v>
      </c>
      <c r="V166" s="154">
        <v>1</v>
      </c>
      <c r="W166" s="154">
        <v>2</v>
      </c>
      <c r="X166" s="154" t="s">
        <v>311</v>
      </c>
      <c r="Y166" s="154">
        <v>2</v>
      </c>
      <c r="Z166" s="154">
        <f t="shared" si="64"/>
        <v>39</v>
      </c>
      <c r="AA166" s="405">
        <f t="shared" si="47"/>
        <v>10675000</v>
      </c>
      <c r="AB166" s="405">
        <f t="shared" si="48"/>
        <v>6405000</v>
      </c>
      <c r="AC166" s="407">
        <f t="shared" si="49"/>
        <v>96100</v>
      </c>
      <c r="AD166" s="343"/>
      <c r="AE166" s="343"/>
      <c r="AF166" s="343"/>
      <c r="AG166" s="343"/>
      <c r="AH166" s="381">
        <f t="shared" si="67"/>
        <v>4270000</v>
      </c>
      <c r="AI166" s="381"/>
      <c r="AJ166" s="381">
        <f t="shared" si="65"/>
        <v>2135000</v>
      </c>
      <c r="AK166" s="381"/>
      <c r="AW166" s="217">
        <f t="shared" si="50"/>
        <v>2</v>
      </c>
      <c r="AX166" s="217">
        <f t="shared" si="51"/>
        <v>2</v>
      </c>
      <c r="AY166" s="217">
        <f t="shared" si="52"/>
        <v>1</v>
      </c>
      <c r="AZ166" s="217">
        <f t="shared" si="53"/>
        <v>2</v>
      </c>
      <c r="BA166" s="217">
        <f t="shared" si="54"/>
        <v>0</v>
      </c>
      <c r="BB166" s="217">
        <f t="shared" si="55"/>
        <v>2</v>
      </c>
      <c r="BC166" s="217">
        <f t="shared" si="56"/>
        <v>27</v>
      </c>
      <c r="BD166" s="217"/>
      <c r="BE166" s="217">
        <f t="shared" si="57"/>
        <v>5</v>
      </c>
      <c r="BF166" s="217">
        <f t="shared" si="58"/>
        <v>5</v>
      </c>
      <c r="BG166" s="217">
        <f t="shared" si="59"/>
        <v>5</v>
      </c>
      <c r="BH166" s="217">
        <f t="shared" si="60"/>
        <v>5</v>
      </c>
      <c r="BI166" s="217">
        <f t="shared" si="61"/>
        <v>0</v>
      </c>
      <c r="BJ166" s="217">
        <f t="shared" si="62"/>
        <v>5</v>
      </c>
      <c r="BK166" s="217">
        <f t="shared" si="63"/>
        <v>70</v>
      </c>
    </row>
    <row r="167" spans="2:63" s="372" customFormat="1" ht="30" customHeight="1" x14ac:dyDescent="0.35">
      <c r="B167" s="373" t="s">
        <v>719</v>
      </c>
      <c r="C167" s="374" t="s">
        <v>720</v>
      </c>
      <c r="D167" s="375" t="s">
        <v>740</v>
      </c>
      <c r="E167" s="375" t="s">
        <v>711</v>
      </c>
      <c r="F167" s="383">
        <f>7+25/60+22/3600</f>
        <v>7.4227777777777781</v>
      </c>
      <c r="G167" s="383">
        <f>134+29/60+47/3600</f>
        <v>134.49638888888887</v>
      </c>
      <c r="H167" s="383">
        <f>7+25/60+18/3600</f>
        <v>7.4216666666666669</v>
      </c>
      <c r="I167" s="383">
        <f>134+29/60+47/3600</f>
        <v>134.49638888888887</v>
      </c>
      <c r="J167" s="377" t="s">
        <v>277</v>
      </c>
      <c r="K167" s="377">
        <v>2002</v>
      </c>
      <c r="L167" s="375" t="s">
        <v>311</v>
      </c>
      <c r="M167" s="378">
        <v>150</v>
      </c>
      <c r="N167" s="379">
        <v>4.9000000000000004</v>
      </c>
      <c r="O167" s="375">
        <v>2</v>
      </c>
      <c r="P167" s="375" t="s">
        <v>272</v>
      </c>
      <c r="Q167" s="375" t="s">
        <v>275</v>
      </c>
      <c r="R167" s="375" t="s">
        <v>725</v>
      </c>
      <c r="S167" s="380" t="s">
        <v>92</v>
      </c>
      <c r="T167" s="154">
        <v>3</v>
      </c>
      <c r="U167" s="154">
        <v>2</v>
      </c>
      <c r="V167" s="154">
        <v>3</v>
      </c>
      <c r="W167" s="154">
        <v>2</v>
      </c>
      <c r="X167" s="154" t="s">
        <v>311</v>
      </c>
      <c r="Y167" s="154">
        <v>4</v>
      </c>
      <c r="Z167" s="154">
        <f t="shared" si="64"/>
        <v>59</v>
      </c>
      <c r="AA167" s="405">
        <f t="shared" si="47"/>
        <v>75000</v>
      </c>
      <c r="AB167" s="405">
        <f t="shared" si="48"/>
        <v>45000</v>
      </c>
      <c r="AC167" s="407">
        <f t="shared" si="49"/>
        <v>700</v>
      </c>
      <c r="AD167" s="343"/>
      <c r="AE167" s="343"/>
      <c r="AF167" s="343"/>
      <c r="AG167" s="343"/>
      <c r="AH167" s="381"/>
      <c r="AI167" s="381"/>
      <c r="AJ167" s="381"/>
      <c r="AK167" s="381"/>
      <c r="AW167" s="217">
        <f t="shared" si="50"/>
        <v>3</v>
      </c>
      <c r="AX167" s="217">
        <f t="shared" si="51"/>
        <v>2</v>
      </c>
      <c r="AY167" s="217">
        <f t="shared" si="52"/>
        <v>3</v>
      </c>
      <c r="AZ167" s="217">
        <f t="shared" si="53"/>
        <v>2</v>
      </c>
      <c r="BA167" s="217">
        <f t="shared" si="54"/>
        <v>0</v>
      </c>
      <c r="BB167" s="217">
        <f t="shared" si="55"/>
        <v>4</v>
      </c>
      <c r="BC167" s="217">
        <f t="shared" si="56"/>
        <v>41</v>
      </c>
      <c r="BD167" s="217"/>
      <c r="BE167" s="217">
        <f t="shared" si="57"/>
        <v>5</v>
      </c>
      <c r="BF167" s="217">
        <f t="shared" si="58"/>
        <v>5</v>
      </c>
      <c r="BG167" s="217">
        <f t="shared" si="59"/>
        <v>5</v>
      </c>
      <c r="BH167" s="217">
        <f t="shared" si="60"/>
        <v>5</v>
      </c>
      <c r="BI167" s="217">
        <f t="shared" si="61"/>
        <v>0</v>
      </c>
      <c r="BJ167" s="217">
        <f t="shared" si="62"/>
        <v>5</v>
      </c>
      <c r="BK167" s="217">
        <f t="shared" si="63"/>
        <v>70</v>
      </c>
    </row>
    <row r="168" spans="2:63" s="372" customFormat="1" ht="30" customHeight="1" x14ac:dyDescent="0.35">
      <c r="B168" s="373" t="s">
        <v>722</v>
      </c>
      <c r="C168" s="374" t="s">
        <v>721</v>
      </c>
      <c r="D168" s="375" t="s">
        <v>711</v>
      </c>
      <c r="E168" s="375" t="s">
        <v>711</v>
      </c>
      <c r="F168" s="383">
        <f>7+25/60+22/3600</f>
        <v>7.4227777777777781</v>
      </c>
      <c r="G168" s="383">
        <f>134+29/60+47/3600</f>
        <v>134.49638888888887</v>
      </c>
      <c r="H168" s="383">
        <f>7+25/60+18/3600</f>
        <v>7.4216666666666669</v>
      </c>
      <c r="I168" s="383">
        <f>134+29/60+47/3600</f>
        <v>134.49638888888887</v>
      </c>
      <c r="J168" s="377" t="s">
        <v>277</v>
      </c>
      <c r="K168" s="377">
        <v>2006</v>
      </c>
      <c r="L168" s="375" t="s">
        <v>311</v>
      </c>
      <c r="M168" s="378">
        <v>775</v>
      </c>
      <c r="N168" s="379">
        <v>4.9000000000000004</v>
      </c>
      <c r="O168" s="375">
        <v>2</v>
      </c>
      <c r="P168" s="375" t="s">
        <v>272</v>
      </c>
      <c r="Q168" s="375" t="s">
        <v>275</v>
      </c>
      <c r="R168" s="375" t="s">
        <v>725</v>
      </c>
      <c r="S168" s="380" t="s">
        <v>92</v>
      </c>
      <c r="T168" s="154">
        <v>3</v>
      </c>
      <c r="U168" s="154">
        <v>3</v>
      </c>
      <c r="V168" s="154">
        <v>3</v>
      </c>
      <c r="W168" s="154">
        <v>2</v>
      </c>
      <c r="X168" s="154" t="s">
        <v>311</v>
      </c>
      <c r="Y168" s="154">
        <v>4</v>
      </c>
      <c r="Z168" s="154">
        <f t="shared" si="64"/>
        <v>65</v>
      </c>
      <c r="AA168" s="405">
        <f t="shared" si="47"/>
        <v>387500</v>
      </c>
      <c r="AB168" s="405">
        <f t="shared" si="48"/>
        <v>232500</v>
      </c>
      <c r="AC168" s="407">
        <f t="shared" si="49"/>
        <v>3500</v>
      </c>
      <c r="AD168" s="343"/>
      <c r="AE168" s="343"/>
      <c r="AF168" s="343"/>
      <c r="AG168" s="343"/>
      <c r="AH168" s="381"/>
      <c r="AI168" s="381"/>
      <c r="AJ168" s="381"/>
      <c r="AK168" s="381"/>
      <c r="AW168" s="217">
        <f t="shared" si="50"/>
        <v>3</v>
      </c>
      <c r="AX168" s="217">
        <f t="shared" si="51"/>
        <v>3</v>
      </c>
      <c r="AY168" s="217">
        <f t="shared" si="52"/>
        <v>3</v>
      </c>
      <c r="AZ168" s="217">
        <f t="shared" si="53"/>
        <v>2</v>
      </c>
      <c r="BA168" s="217">
        <f t="shared" si="54"/>
        <v>0</v>
      </c>
      <c r="BB168" s="217">
        <f t="shared" si="55"/>
        <v>4</v>
      </c>
      <c r="BC168" s="217">
        <f t="shared" si="56"/>
        <v>45</v>
      </c>
      <c r="BD168" s="217"/>
      <c r="BE168" s="217">
        <f t="shared" si="57"/>
        <v>5</v>
      </c>
      <c r="BF168" s="217">
        <f t="shared" si="58"/>
        <v>5</v>
      </c>
      <c r="BG168" s="217">
        <f t="shared" si="59"/>
        <v>5</v>
      </c>
      <c r="BH168" s="217">
        <f t="shared" si="60"/>
        <v>5</v>
      </c>
      <c r="BI168" s="217">
        <f t="shared" si="61"/>
        <v>0</v>
      </c>
      <c r="BJ168" s="217">
        <f t="shared" si="62"/>
        <v>5</v>
      </c>
      <c r="BK168" s="217">
        <f t="shared" si="63"/>
        <v>70</v>
      </c>
    </row>
    <row r="169" spans="2:63" s="372" customFormat="1" ht="30" customHeight="1" x14ac:dyDescent="0.35">
      <c r="B169" s="373" t="s">
        <v>724</v>
      </c>
      <c r="C169" s="374" t="s">
        <v>723</v>
      </c>
      <c r="D169" s="375" t="s">
        <v>711</v>
      </c>
      <c r="E169" s="375" t="s">
        <v>711</v>
      </c>
      <c r="F169" s="383">
        <f>7+25/60+22/3600</f>
        <v>7.4227777777777781</v>
      </c>
      <c r="G169" s="383">
        <f>134+29/60+47/3600</f>
        <v>134.49638888888887</v>
      </c>
      <c r="H169" s="383">
        <f>7+25/60+18/3600</f>
        <v>7.4216666666666669</v>
      </c>
      <c r="I169" s="383">
        <f>134+29/60+47/3600</f>
        <v>134.49638888888887</v>
      </c>
      <c r="J169" s="377" t="s">
        <v>277</v>
      </c>
      <c r="K169" s="377" t="s">
        <v>421</v>
      </c>
      <c r="L169" s="375" t="s">
        <v>311</v>
      </c>
      <c r="M169" s="378">
        <v>760</v>
      </c>
      <c r="N169" s="379">
        <v>4.9000000000000004</v>
      </c>
      <c r="O169" s="375">
        <v>2</v>
      </c>
      <c r="P169" s="375" t="s">
        <v>272</v>
      </c>
      <c r="Q169" s="375" t="s">
        <v>503</v>
      </c>
      <c r="R169" s="375" t="s">
        <v>92</v>
      </c>
      <c r="S169" s="380" t="s">
        <v>92</v>
      </c>
      <c r="T169" s="154">
        <v>2</v>
      </c>
      <c r="U169" s="154">
        <v>2</v>
      </c>
      <c r="V169" s="154">
        <v>1</v>
      </c>
      <c r="W169" s="154">
        <v>2</v>
      </c>
      <c r="X169" s="154" t="s">
        <v>311</v>
      </c>
      <c r="Y169" s="154">
        <v>2</v>
      </c>
      <c r="Z169" s="154">
        <f t="shared" si="64"/>
        <v>39</v>
      </c>
      <c r="AA169" s="405">
        <f t="shared" si="47"/>
        <v>380000</v>
      </c>
      <c r="AB169" s="405">
        <f t="shared" si="48"/>
        <v>228000</v>
      </c>
      <c r="AC169" s="407">
        <f t="shared" si="49"/>
        <v>3400</v>
      </c>
      <c r="AD169" s="343"/>
      <c r="AE169" s="343"/>
      <c r="AF169" s="343"/>
      <c r="AG169" s="343"/>
      <c r="AH169" s="381">
        <f t="shared" si="67"/>
        <v>152000</v>
      </c>
      <c r="AI169" s="381">
        <f t="shared" si="66"/>
        <v>228000</v>
      </c>
      <c r="AJ169" s="381">
        <f t="shared" si="65"/>
        <v>76000</v>
      </c>
      <c r="AK169" s="381"/>
      <c r="AW169" s="217">
        <f t="shared" si="50"/>
        <v>2</v>
      </c>
      <c r="AX169" s="217">
        <f t="shared" si="51"/>
        <v>2</v>
      </c>
      <c r="AY169" s="217">
        <f t="shared" si="52"/>
        <v>1</v>
      </c>
      <c r="AZ169" s="217">
        <f t="shared" si="53"/>
        <v>2</v>
      </c>
      <c r="BA169" s="217">
        <f t="shared" si="54"/>
        <v>0</v>
      </c>
      <c r="BB169" s="217">
        <f t="shared" si="55"/>
        <v>2</v>
      </c>
      <c r="BC169" s="217">
        <f t="shared" si="56"/>
        <v>27</v>
      </c>
      <c r="BD169" s="217"/>
      <c r="BE169" s="217">
        <f t="shared" si="57"/>
        <v>5</v>
      </c>
      <c r="BF169" s="217">
        <f t="shared" si="58"/>
        <v>5</v>
      </c>
      <c r="BG169" s="217">
        <f t="shared" si="59"/>
        <v>5</v>
      </c>
      <c r="BH169" s="217">
        <f t="shared" si="60"/>
        <v>5</v>
      </c>
      <c r="BI169" s="217">
        <f t="shared" si="61"/>
        <v>0</v>
      </c>
      <c r="BJ169" s="217">
        <f t="shared" si="62"/>
        <v>5</v>
      </c>
      <c r="BK169" s="217">
        <f t="shared" si="63"/>
        <v>70</v>
      </c>
    </row>
    <row r="170" spans="2:63" s="372" customFormat="1" ht="30" customHeight="1" x14ac:dyDescent="0.35">
      <c r="B170" s="373"/>
      <c r="C170" s="374"/>
      <c r="D170" s="375"/>
      <c r="E170" s="375"/>
      <c r="F170" s="383"/>
      <c r="G170" s="383"/>
      <c r="H170" s="383"/>
      <c r="I170" s="383"/>
      <c r="J170" s="375"/>
      <c r="K170" s="377"/>
      <c r="L170" s="375"/>
      <c r="M170" s="378"/>
      <c r="N170" s="379"/>
      <c r="O170" s="375"/>
      <c r="P170" s="375"/>
      <c r="Q170" s="375"/>
      <c r="R170" s="375"/>
      <c r="S170" s="380"/>
      <c r="T170" s="154"/>
      <c r="U170" s="154"/>
      <c r="V170" s="154"/>
      <c r="W170" s="154"/>
      <c r="X170" s="154"/>
      <c r="Y170" s="154"/>
      <c r="Z170" s="154"/>
      <c r="AA170" s="405">
        <f t="shared" si="47"/>
        <v>0</v>
      </c>
      <c r="AB170" s="405">
        <f t="shared" si="48"/>
        <v>0</v>
      </c>
      <c r="AC170" s="407">
        <f t="shared" si="49"/>
        <v>0</v>
      </c>
      <c r="AD170" s="343"/>
      <c r="AE170" s="343"/>
      <c r="AF170" s="343"/>
      <c r="AG170" s="343"/>
      <c r="AH170" s="381"/>
      <c r="AI170" s="381"/>
      <c r="AJ170" s="381"/>
      <c r="AK170" s="381"/>
      <c r="AW170" s="217">
        <f t="shared" si="50"/>
        <v>0</v>
      </c>
      <c r="AX170" s="217">
        <f t="shared" si="51"/>
        <v>0</v>
      </c>
      <c r="AY170" s="217">
        <f t="shared" si="52"/>
        <v>0</v>
      </c>
      <c r="AZ170" s="217">
        <f t="shared" si="53"/>
        <v>0</v>
      </c>
      <c r="BA170" s="217">
        <f t="shared" si="54"/>
        <v>0</v>
      </c>
      <c r="BB170" s="217">
        <f t="shared" si="55"/>
        <v>0</v>
      </c>
      <c r="BC170" s="217">
        <f t="shared" si="56"/>
        <v>0</v>
      </c>
      <c r="BD170" s="217"/>
      <c r="BE170" s="217">
        <f t="shared" si="57"/>
        <v>0</v>
      </c>
      <c r="BF170" s="217">
        <f t="shared" si="58"/>
        <v>0</v>
      </c>
      <c r="BG170" s="217">
        <f t="shared" si="59"/>
        <v>0</v>
      </c>
      <c r="BH170" s="217">
        <f t="shared" si="60"/>
        <v>0</v>
      </c>
      <c r="BI170" s="217">
        <f t="shared" si="61"/>
        <v>0</v>
      </c>
      <c r="BJ170" s="217">
        <f t="shared" si="62"/>
        <v>0</v>
      </c>
      <c r="BK170" s="217">
        <f t="shared" si="63"/>
        <v>0</v>
      </c>
    </row>
    <row r="171" spans="2:63" s="372" customFormat="1" ht="30" customHeight="1" x14ac:dyDescent="0.35">
      <c r="B171" s="373" t="s">
        <v>397</v>
      </c>
      <c r="C171" s="374" t="s">
        <v>363</v>
      </c>
      <c r="D171" s="375" t="s">
        <v>351</v>
      </c>
      <c r="E171" s="375" t="s">
        <v>364</v>
      </c>
      <c r="F171" s="383">
        <f>7+22.606154/60</f>
        <v>7.3767692333333335</v>
      </c>
      <c r="G171" s="383">
        <f>134+33.3007743/60</f>
        <v>134.55501290500001</v>
      </c>
      <c r="H171" s="383">
        <f>7+21.86086/60</f>
        <v>7.3643476666666663</v>
      </c>
      <c r="I171" s="383">
        <f>134+31.906966/60</f>
        <v>134.53178276666668</v>
      </c>
      <c r="J171" s="375" t="s">
        <v>365</v>
      </c>
      <c r="K171" s="377">
        <v>2004</v>
      </c>
      <c r="L171" s="375" t="s">
        <v>311</v>
      </c>
      <c r="M171" s="378">
        <v>4575</v>
      </c>
      <c r="N171" s="379">
        <v>7.3</v>
      </c>
      <c r="O171" s="375">
        <v>2</v>
      </c>
      <c r="P171" s="375" t="s">
        <v>272</v>
      </c>
      <c r="Q171" s="375" t="s">
        <v>366</v>
      </c>
      <c r="R171" s="375" t="s">
        <v>270</v>
      </c>
      <c r="S171" s="380" t="s">
        <v>271</v>
      </c>
      <c r="T171" s="154">
        <v>1</v>
      </c>
      <c r="U171" s="154">
        <v>2</v>
      </c>
      <c r="V171" s="154">
        <v>5</v>
      </c>
      <c r="W171" s="154">
        <v>4</v>
      </c>
      <c r="X171" s="154">
        <v>5</v>
      </c>
      <c r="Y171" s="154">
        <v>3</v>
      </c>
      <c r="Z171" s="154">
        <f t="shared" si="64"/>
        <v>51</v>
      </c>
      <c r="AA171" s="405">
        <f t="shared" si="47"/>
        <v>2287500</v>
      </c>
      <c r="AB171" s="405">
        <f t="shared" si="48"/>
        <v>1372500</v>
      </c>
      <c r="AC171" s="407">
        <f t="shared" si="49"/>
        <v>20600</v>
      </c>
      <c r="AD171" s="343"/>
      <c r="AE171" s="343"/>
      <c r="AF171" s="343"/>
      <c r="AG171" s="343"/>
      <c r="AH171" s="381"/>
      <c r="AI171" s="381"/>
      <c r="AJ171" s="381"/>
      <c r="AK171" s="381"/>
      <c r="AW171" s="217">
        <f t="shared" si="50"/>
        <v>1</v>
      </c>
      <c r="AX171" s="217">
        <f t="shared" si="51"/>
        <v>2</v>
      </c>
      <c r="AY171" s="217">
        <f t="shared" si="52"/>
        <v>5</v>
      </c>
      <c r="AZ171" s="217">
        <f t="shared" si="53"/>
        <v>4</v>
      </c>
      <c r="BA171" s="217">
        <f t="shared" si="54"/>
        <v>5</v>
      </c>
      <c r="BB171" s="217">
        <f t="shared" si="55"/>
        <v>3</v>
      </c>
      <c r="BC171" s="217">
        <f t="shared" si="56"/>
        <v>38</v>
      </c>
      <c r="BD171" s="217"/>
      <c r="BE171" s="217">
        <f t="shared" si="57"/>
        <v>5</v>
      </c>
      <c r="BF171" s="217">
        <f t="shared" si="58"/>
        <v>5</v>
      </c>
      <c r="BG171" s="217">
        <f t="shared" si="59"/>
        <v>5</v>
      </c>
      <c r="BH171" s="217">
        <f t="shared" si="60"/>
        <v>5</v>
      </c>
      <c r="BI171" s="217">
        <f t="shared" si="61"/>
        <v>5</v>
      </c>
      <c r="BJ171" s="217">
        <f t="shared" si="62"/>
        <v>5</v>
      </c>
      <c r="BK171" s="217">
        <f t="shared" si="63"/>
        <v>75</v>
      </c>
    </row>
    <row r="172" spans="2:63" s="372" customFormat="1" ht="30" customHeight="1" x14ac:dyDescent="0.35">
      <c r="B172" s="373" t="s">
        <v>398</v>
      </c>
      <c r="C172" s="374" t="s">
        <v>775</v>
      </c>
      <c r="D172" s="375" t="s">
        <v>364</v>
      </c>
      <c r="E172" s="375" t="s">
        <v>776</v>
      </c>
      <c r="F172" s="383">
        <f>7+23/60+29/3600</f>
        <v>7.3913888888888897</v>
      </c>
      <c r="G172" s="383">
        <f>134+33/60+58/3600</f>
        <v>134.56611111111113</v>
      </c>
      <c r="H172" s="383">
        <f>7+22/60+3/3600</f>
        <v>7.3674999999999997</v>
      </c>
      <c r="I172" s="383">
        <f>134+35/60+12/3600</f>
        <v>134.58666666666667</v>
      </c>
      <c r="J172" s="375" t="s">
        <v>277</v>
      </c>
      <c r="K172" s="377">
        <v>2005</v>
      </c>
      <c r="L172" s="375" t="s">
        <v>311</v>
      </c>
      <c r="M172" s="378">
        <v>4420</v>
      </c>
      <c r="N172" s="379">
        <v>6.1</v>
      </c>
      <c r="O172" s="375">
        <v>2</v>
      </c>
      <c r="P172" s="375" t="s">
        <v>272</v>
      </c>
      <c r="Q172" s="375" t="s">
        <v>503</v>
      </c>
      <c r="R172" s="375" t="s">
        <v>92</v>
      </c>
      <c r="S172" s="380" t="s">
        <v>92</v>
      </c>
      <c r="T172" s="154">
        <v>2</v>
      </c>
      <c r="U172" s="154">
        <v>2</v>
      </c>
      <c r="V172" s="154">
        <v>1</v>
      </c>
      <c r="W172" s="154">
        <v>2</v>
      </c>
      <c r="X172" s="154" t="s">
        <v>311</v>
      </c>
      <c r="Y172" s="154">
        <v>2</v>
      </c>
      <c r="Z172" s="154">
        <f t="shared" si="64"/>
        <v>39</v>
      </c>
      <c r="AA172" s="405">
        <f t="shared" si="47"/>
        <v>2210000</v>
      </c>
      <c r="AB172" s="405">
        <f t="shared" si="48"/>
        <v>1326000</v>
      </c>
      <c r="AC172" s="407">
        <f t="shared" si="49"/>
        <v>19900</v>
      </c>
      <c r="AD172" s="343"/>
      <c r="AE172" s="343"/>
      <c r="AF172" s="343"/>
      <c r="AG172" s="343"/>
      <c r="AH172" s="381">
        <f t="shared" si="67"/>
        <v>884000</v>
      </c>
      <c r="AI172" s="381">
        <f t="shared" si="66"/>
        <v>1326000</v>
      </c>
      <c r="AJ172" s="381">
        <f t="shared" si="65"/>
        <v>442000</v>
      </c>
      <c r="AK172" s="381"/>
      <c r="AW172" s="217">
        <f t="shared" si="50"/>
        <v>2</v>
      </c>
      <c r="AX172" s="217">
        <f t="shared" si="51"/>
        <v>2</v>
      </c>
      <c r="AY172" s="217">
        <f t="shared" si="52"/>
        <v>1</v>
      </c>
      <c r="AZ172" s="217">
        <f t="shared" si="53"/>
        <v>2</v>
      </c>
      <c r="BA172" s="217">
        <f t="shared" si="54"/>
        <v>0</v>
      </c>
      <c r="BB172" s="217">
        <f t="shared" si="55"/>
        <v>2</v>
      </c>
      <c r="BC172" s="217">
        <f t="shared" si="56"/>
        <v>27</v>
      </c>
      <c r="BD172" s="217"/>
      <c r="BE172" s="217">
        <f t="shared" si="57"/>
        <v>5</v>
      </c>
      <c r="BF172" s="217">
        <f t="shared" si="58"/>
        <v>5</v>
      </c>
      <c r="BG172" s="217">
        <f t="shared" si="59"/>
        <v>5</v>
      </c>
      <c r="BH172" s="217">
        <f t="shared" si="60"/>
        <v>5</v>
      </c>
      <c r="BI172" s="217">
        <f t="shared" si="61"/>
        <v>0</v>
      </c>
      <c r="BJ172" s="217">
        <f t="shared" si="62"/>
        <v>5</v>
      </c>
      <c r="BK172" s="217">
        <f t="shared" si="63"/>
        <v>70</v>
      </c>
    </row>
    <row r="173" spans="2:63" s="372" customFormat="1" ht="30" customHeight="1" x14ac:dyDescent="0.35">
      <c r="B173" s="373" t="s">
        <v>399</v>
      </c>
      <c r="C173" s="374" t="s">
        <v>777</v>
      </c>
      <c r="D173" s="375" t="s">
        <v>776</v>
      </c>
      <c r="E173" s="375" t="s">
        <v>776</v>
      </c>
      <c r="F173" s="383">
        <f>7+22/60+40/3600</f>
        <v>7.3777777777777773</v>
      </c>
      <c r="G173" s="383">
        <f>134+34/60+53/3600</f>
        <v>134.58138888888888</v>
      </c>
      <c r="H173" s="383">
        <f>7+23/60+13/3600</f>
        <v>7.3869444444444445</v>
      </c>
      <c r="I173" s="383">
        <f>134+35/60+17/3600</f>
        <v>134.58805555555557</v>
      </c>
      <c r="J173" s="375" t="s">
        <v>277</v>
      </c>
      <c r="K173" s="377">
        <v>2005</v>
      </c>
      <c r="L173" s="375" t="s">
        <v>311</v>
      </c>
      <c r="M173" s="378">
        <v>2040</v>
      </c>
      <c r="N173" s="379">
        <v>6.1</v>
      </c>
      <c r="O173" s="375">
        <v>2</v>
      </c>
      <c r="P173" s="375" t="s">
        <v>272</v>
      </c>
      <c r="Q173" s="375" t="s">
        <v>503</v>
      </c>
      <c r="R173" s="375" t="s">
        <v>92</v>
      </c>
      <c r="S173" s="380" t="s">
        <v>92</v>
      </c>
      <c r="T173" s="154">
        <v>2</v>
      </c>
      <c r="U173" s="154">
        <v>2</v>
      </c>
      <c r="V173" s="154">
        <v>1</v>
      </c>
      <c r="W173" s="154">
        <v>2</v>
      </c>
      <c r="X173" s="154" t="s">
        <v>311</v>
      </c>
      <c r="Y173" s="154">
        <v>2</v>
      </c>
      <c r="Z173" s="154">
        <f t="shared" si="64"/>
        <v>39</v>
      </c>
      <c r="AA173" s="405">
        <f t="shared" si="47"/>
        <v>1020000</v>
      </c>
      <c r="AB173" s="405">
        <f t="shared" si="48"/>
        <v>612000</v>
      </c>
      <c r="AC173" s="407">
        <f t="shared" si="49"/>
        <v>9200</v>
      </c>
      <c r="AD173" s="343"/>
      <c r="AE173" s="343"/>
      <c r="AF173" s="343"/>
      <c r="AG173" s="343"/>
      <c r="AH173" s="381">
        <f t="shared" si="67"/>
        <v>408000</v>
      </c>
      <c r="AI173" s="381">
        <f t="shared" si="66"/>
        <v>612000</v>
      </c>
      <c r="AJ173" s="381">
        <f t="shared" si="65"/>
        <v>204000</v>
      </c>
      <c r="AK173" s="381"/>
      <c r="AW173" s="217">
        <f t="shared" si="50"/>
        <v>2</v>
      </c>
      <c r="AX173" s="217">
        <f t="shared" si="51"/>
        <v>2</v>
      </c>
      <c r="AY173" s="217">
        <f t="shared" si="52"/>
        <v>1</v>
      </c>
      <c r="AZ173" s="217">
        <f t="shared" si="53"/>
        <v>2</v>
      </c>
      <c r="BA173" s="217">
        <f t="shared" si="54"/>
        <v>0</v>
      </c>
      <c r="BB173" s="217">
        <f t="shared" si="55"/>
        <v>2</v>
      </c>
      <c r="BC173" s="217">
        <f t="shared" si="56"/>
        <v>27</v>
      </c>
      <c r="BD173" s="217"/>
      <c r="BE173" s="217">
        <f t="shared" si="57"/>
        <v>5</v>
      </c>
      <c r="BF173" s="217">
        <f t="shared" si="58"/>
        <v>5</v>
      </c>
      <c r="BG173" s="217">
        <f t="shared" si="59"/>
        <v>5</v>
      </c>
      <c r="BH173" s="217">
        <f t="shared" si="60"/>
        <v>5</v>
      </c>
      <c r="BI173" s="217">
        <f t="shared" si="61"/>
        <v>0</v>
      </c>
      <c r="BJ173" s="217">
        <f t="shared" si="62"/>
        <v>5</v>
      </c>
      <c r="BK173" s="217">
        <f t="shared" si="63"/>
        <v>70</v>
      </c>
    </row>
    <row r="174" spans="2:63" s="372" customFormat="1" ht="30" customHeight="1" x14ac:dyDescent="0.35">
      <c r="B174" s="373" t="s">
        <v>400</v>
      </c>
      <c r="C174" s="374" t="s">
        <v>778</v>
      </c>
      <c r="D174" s="375" t="s">
        <v>776</v>
      </c>
      <c r="E174" s="375" t="s">
        <v>776</v>
      </c>
      <c r="F174" s="383">
        <f>7+22/60+40/3600</f>
        <v>7.3777777777777773</v>
      </c>
      <c r="G174" s="383">
        <f>134+34/60+53/3600</f>
        <v>134.58138888888888</v>
      </c>
      <c r="H174" s="383">
        <f>7+21/60+59/3600</f>
        <v>7.3663888888888884</v>
      </c>
      <c r="I174" s="383">
        <f>134+34/60+52/3600</f>
        <v>134.58111111111111</v>
      </c>
      <c r="J174" s="375" t="s">
        <v>97</v>
      </c>
      <c r="K174" s="377">
        <v>2005</v>
      </c>
      <c r="L174" s="375" t="s">
        <v>311</v>
      </c>
      <c r="M174" s="378">
        <v>920</v>
      </c>
      <c r="N174" s="379">
        <v>6.1</v>
      </c>
      <c r="O174" s="375">
        <v>2</v>
      </c>
      <c r="P174" s="375" t="s">
        <v>272</v>
      </c>
      <c r="Q174" s="375" t="s">
        <v>503</v>
      </c>
      <c r="R174" s="375" t="s">
        <v>92</v>
      </c>
      <c r="S174" s="380" t="s">
        <v>92</v>
      </c>
      <c r="T174" s="154">
        <v>2</v>
      </c>
      <c r="U174" s="154">
        <v>2</v>
      </c>
      <c r="V174" s="154">
        <v>1</v>
      </c>
      <c r="W174" s="154">
        <v>2</v>
      </c>
      <c r="X174" s="154" t="s">
        <v>311</v>
      </c>
      <c r="Y174" s="154">
        <v>2</v>
      </c>
      <c r="Z174" s="154">
        <f t="shared" si="64"/>
        <v>39</v>
      </c>
      <c r="AA174" s="405">
        <f t="shared" si="47"/>
        <v>460000</v>
      </c>
      <c r="AB174" s="405">
        <f t="shared" si="48"/>
        <v>276000</v>
      </c>
      <c r="AC174" s="407">
        <f t="shared" si="49"/>
        <v>4100</v>
      </c>
      <c r="AD174" s="343"/>
      <c r="AE174" s="343"/>
      <c r="AF174" s="343"/>
      <c r="AG174" s="343"/>
      <c r="AH174" s="381">
        <f t="shared" si="67"/>
        <v>184000</v>
      </c>
      <c r="AI174" s="381">
        <f t="shared" si="66"/>
        <v>276000</v>
      </c>
      <c r="AJ174" s="381">
        <f t="shared" si="65"/>
        <v>92000</v>
      </c>
      <c r="AK174" s="381"/>
      <c r="AW174" s="217">
        <f t="shared" si="50"/>
        <v>2</v>
      </c>
      <c r="AX174" s="217">
        <f t="shared" si="51"/>
        <v>2</v>
      </c>
      <c r="AY174" s="217">
        <f t="shared" si="52"/>
        <v>1</v>
      </c>
      <c r="AZ174" s="217">
        <f t="shared" si="53"/>
        <v>2</v>
      </c>
      <c r="BA174" s="217">
        <f t="shared" si="54"/>
        <v>0</v>
      </c>
      <c r="BB174" s="217">
        <f t="shared" si="55"/>
        <v>2</v>
      </c>
      <c r="BC174" s="217">
        <f t="shared" si="56"/>
        <v>27</v>
      </c>
      <c r="BD174" s="217"/>
      <c r="BE174" s="217">
        <f t="shared" si="57"/>
        <v>5</v>
      </c>
      <c r="BF174" s="217">
        <f t="shared" si="58"/>
        <v>5</v>
      </c>
      <c r="BG174" s="217">
        <f t="shared" si="59"/>
        <v>5</v>
      </c>
      <c r="BH174" s="217">
        <f t="shared" si="60"/>
        <v>5</v>
      </c>
      <c r="BI174" s="217">
        <f t="shared" si="61"/>
        <v>0</v>
      </c>
      <c r="BJ174" s="217">
        <f t="shared" si="62"/>
        <v>5</v>
      </c>
      <c r="BK174" s="217">
        <f t="shared" si="63"/>
        <v>70</v>
      </c>
    </row>
    <row r="175" spans="2:63" s="372" customFormat="1" ht="30" customHeight="1" x14ac:dyDescent="0.35">
      <c r="B175" s="373" t="s">
        <v>726</v>
      </c>
      <c r="C175" s="374" t="s">
        <v>367</v>
      </c>
      <c r="D175" s="375" t="s">
        <v>351</v>
      </c>
      <c r="E175" s="375" t="s">
        <v>351</v>
      </c>
      <c r="F175" s="383">
        <f>7+22/60</f>
        <v>7.3666666666666663</v>
      </c>
      <c r="G175" s="383">
        <f>134+32/60+3/3600</f>
        <v>134.53416666666666</v>
      </c>
      <c r="H175" s="383">
        <f>7+22.10246/60</f>
        <v>7.3683743333333336</v>
      </c>
      <c r="I175" s="383">
        <f>134+32.321318/60</f>
        <v>134.53868863333332</v>
      </c>
      <c r="J175" s="375" t="s">
        <v>97</v>
      </c>
      <c r="K175" s="377">
        <v>2006</v>
      </c>
      <c r="L175" s="375" t="s">
        <v>311</v>
      </c>
      <c r="M175" s="378">
        <v>4225</v>
      </c>
      <c r="N175" s="379">
        <v>3.6</v>
      </c>
      <c r="O175" s="375">
        <v>1</v>
      </c>
      <c r="P175" s="375" t="s">
        <v>83</v>
      </c>
      <c r="Q175" s="375" t="s">
        <v>275</v>
      </c>
      <c r="R175" s="375" t="s">
        <v>92</v>
      </c>
      <c r="S175" s="380" t="s">
        <v>92</v>
      </c>
      <c r="T175" s="154">
        <v>5</v>
      </c>
      <c r="U175" s="154">
        <v>5</v>
      </c>
      <c r="V175" s="154">
        <v>5</v>
      </c>
      <c r="W175" s="154">
        <v>4</v>
      </c>
      <c r="X175" s="154" t="s">
        <v>311</v>
      </c>
      <c r="Y175" s="154">
        <v>5</v>
      </c>
      <c r="Z175" s="154">
        <f t="shared" si="64"/>
        <v>99</v>
      </c>
      <c r="AA175" s="405">
        <f t="shared" si="47"/>
        <v>2112500</v>
      </c>
      <c r="AB175" s="405">
        <f t="shared" si="48"/>
        <v>1267500</v>
      </c>
      <c r="AC175" s="407">
        <f t="shared" si="49"/>
        <v>19000</v>
      </c>
      <c r="AD175" s="343"/>
      <c r="AE175" s="343"/>
      <c r="AF175" s="343"/>
      <c r="AG175" s="343"/>
      <c r="AH175" s="381"/>
      <c r="AI175" s="381"/>
      <c r="AJ175" s="381"/>
      <c r="AK175" s="381"/>
      <c r="AW175" s="217">
        <f t="shared" si="50"/>
        <v>5</v>
      </c>
      <c r="AX175" s="217">
        <f t="shared" si="51"/>
        <v>5</v>
      </c>
      <c r="AY175" s="217">
        <f t="shared" si="52"/>
        <v>5</v>
      </c>
      <c r="AZ175" s="217">
        <f t="shared" si="53"/>
        <v>4</v>
      </c>
      <c r="BA175" s="217">
        <f t="shared" si="54"/>
        <v>0</v>
      </c>
      <c r="BB175" s="217">
        <f t="shared" si="55"/>
        <v>5</v>
      </c>
      <c r="BC175" s="217">
        <f t="shared" si="56"/>
        <v>69</v>
      </c>
      <c r="BD175" s="217"/>
      <c r="BE175" s="217">
        <f t="shared" si="57"/>
        <v>5</v>
      </c>
      <c r="BF175" s="217">
        <f t="shared" si="58"/>
        <v>5</v>
      </c>
      <c r="BG175" s="217">
        <f t="shared" si="59"/>
        <v>5</v>
      </c>
      <c r="BH175" s="217">
        <f t="shared" si="60"/>
        <v>5</v>
      </c>
      <c r="BI175" s="217">
        <f t="shared" si="61"/>
        <v>0</v>
      </c>
      <c r="BJ175" s="217">
        <f t="shared" si="62"/>
        <v>5</v>
      </c>
      <c r="BK175" s="217">
        <f t="shared" si="63"/>
        <v>70</v>
      </c>
    </row>
    <row r="176" spans="2:63" s="372" customFormat="1" ht="30" customHeight="1" x14ac:dyDescent="0.35">
      <c r="B176" s="373" t="s">
        <v>730</v>
      </c>
      <c r="C176" s="374" t="s">
        <v>368</v>
      </c>
      <c r="D176" s="375" t="s">
        <v>364</v>
      </c>
      <c r="E176" s="375" t="s">
        <v>364</v>
      </c>
      <c r="F176" s="383">
        <f>7+22/60+13/3600</f>
        <v>7.370277777777777</v>
      </c>
      <c r="G176" s="383">
        <f>134+32/60+18/3600</f>
        <v>134.53833333333333</v>
      </c>
      <c r="H176" s="383">
        <f>7+22/60+28/3600</f>
        <v>7.3744444444444444</v>
      </c>
      <c r="I176" s="383">
        <f>134+33/60+2/3600</f>
        <v>134.55055555555558</v>
      </c>
      <c r="J176" s="375" t="s">
        <v>97</v>
      </c>
      <c r="K176" s="377">
        <v>2001</v>
      </c>
      <c r="L176" s="375" t="s">
        <v>311</v>
      </c>
      <c r="M176" s="378">
        <v>730</v>
      </c>
      <c r="N176" s="379">
        <v>5.5</v>
      </c>
      <c r="O176" s="375">
        <v>2</v>
      </c>
      <c r="P176" s="375" t="s">
        <v>272</v>
      </c>
      <c r="Q176" s="375" t="s">
        <v>275</v>
      </c>
      <c r="R176" s="375" t="s">
        <v>291</v>
      </c>
      <c r="S176" s="380" t="s">
        <v>92</v>
      </c>
      <c r="T176" s="154">
        <v>5</v>
      </c>
      <c r="U176" s="154">
        <v>5</v>
      </c>
      <c r="V176" s="154">
        <v>5</v>
      </c>
      <c r="W176" s="154">
        <v>5</v>
      </c>
      <c r="X176" s="154" t="s">
        <v>311</v>
      </c>
      <c r="Y176" s="154">
        <v>5</v>
      </c>
      <c r="Z176" s="154">
        <f t="shared" si="64"/>
        <v>100</v>
      </c>
      <c r="AA176" s="405">
        <f t="shared" si="47"/>
        <v>365000</v>
      </c>
      <c r="AB176" s="405">
        <f t="shared" si="48"/>
        <v>219000</v>
      </c>
      <c r="AC176" s="407">
        <f t="shared" si="49"/>
        <v>3300</v>
      </c>
      <c r="AD176" s="343"/>
      <c r="AE176" s="343"/>
      <c r="AF176" s="343"/>
      <c r="AG176" s="343"/>
      <c r="AH176" s="381"/>
      <c r="AI176" s="381"/>
      <c r="AJ176" s="381"/>
      <c r="AK176" s="381"/>
      <c r="AW176" s="217">
        <f t="shared" si="50"/>
        <v>5</v>
      </c>
      <c r="AX176" s="217">
        <f t="shared" si="51"/>
        <v>5</v>
      </c>
      <c r="AY176" s="217">
        <f t="shared" si="52"/>
        <v>5</v>
      </c>
      <c r="AZ176" s="217">
        <f t="shared" si="53"/>
        <v>5</v>
      </c>
      <c r="BA176" s="217">
        <f t="shared" si="54"/>
        <v>0</v>
      </c>
      <c r="BB176" s="217">
        <f t="shared" si="55"/>
        <v>5</v>
      </c>
      <c r="BC176" s="217">
        <f t="shared" si="56"/>
        <v>70</v>
      </c>
      <c r="BD176" s="217"/>
      <c r="BE176" s="217">
        <f t="shared" si="57"/>
        <v>5</v>
      </c>
      <c r="BF176" s="217">
        <f t="shared" si="58"/>
        <v>5</v>
      </c>
      <c r="BG176" s="217">
        <f t="shared" si="59"/>
        <v>5</v>
      </c>
      <c r="BH176" s="217">
        <f t="shared" si="60"/>
        <v>5</v>
      </c>
      <c r="BI176" s="217">
        <f t="shared" si="61"/>
        <v>0</v>
      </c>
      <c r="BJ176" s="217">
        <f t="shared" si="62"/>
        <v>5</v>
      </c>
      <c r="BK176" s="217">
        <f t="shared" si="63"/>
        <v>70</v>
      </c>
    </row>
    <row r="177" spans="2:63" s="372" customFormat="1" ht="30" customHeight="1" x14ac:dyDescent="0.35">
      <c r="B177" s="373" t="s">
        <v>733</v>
      </c>
      <c r="C177" s="374" t="s">
        <v>369</v>
      </c>
      <c r="D177" s="375" t="s">
        <v>364</v>
      </c>
      <c r="E177" s="375" t="s">
        <v>364</v>
      </c>
      <c r="F177" s="383">
        <f>7+22/60+15/3600</f>
        <v>7.3708333333333327</v>
      </c>
      <c r="G177" s="383">
        <f>134+32/60+9/3600</f>
        <v>134.53583333333333</v>
      </c>
      <c r="H177" s="383">
        <f>7+22/60+13/3600</f>
        <v>7.370277777777777</v>
      </c>
      <c r="I177" s="383">
        <f>134+32/60+18/3600</f>
        <v>134.53833333333333</v>
      </c>
      <c r="J177" s="375" t="s">
        <v>97</v>
      </c>
      <c r="K177" s="377">
        <v>2019</v>
      </c>
      <c r="L177" s="375" t="s">
        <v>311</v>
      </c>
      <c r="M177" s="378">
        <v>280</v>
      </c>
      <c r="N177" s="379">
        <v>5.5</v>
      </c>
      <c r="O177" s="375">
        <v>2</v>
      </c>
      <c r="P177" s="375" t="s">
        <v>272</v>
      </c>
      <c r="Q177" s="375" t="s">
        <v>275</v>
      </c>
      <c r="R177" s="375" t="s">
        <v>291</v>
      </c>
      <c r="S177" s="380" t="s">
        <v>92</v>
      </c>
      <c r="T177" s="154">
        <v>5</v>
      </c>
      <c r="U177" s="154">
        <v>5</v>
      </c>
      <c r="V177" s="154">
        <v>5</v>
      </c>
      <c r="W177" s="154">
        <v>5</v>
      </c>
      <c r="X177" s="154" t="s">
        <v>311</v>
      </c>
      <c r="Y177" s="154">
        <v>5</v>
      </c>
      <c r="Z177" s="154">
        <f t="shared" si="64"/>
        <v>100</v>
      </c>
      <c r="AA177" s="405">
        <f t="shared" si="47"/>
        <v>140000</v>
      </c>
      <c r="AB177" s="405">
        <f t="shared" si="48"/>
        <v>84000</v>
      </c>
      <c r="AC177" s="407">
        <f t="shared" si="49"/>
        <v>1300</v>
      </c>
      <c r="AD177" s="343"/>
      <c r="AE177" s="343"/>
      <c r="AF177" s="343"/>
      <c r="AG177" s="343"/>
      <c r="AH177" s="381"/>
      <c r="AI177" s="381"/>
      <c r="AJ177" s="381"/>
      <c r="AK177" s="381"/>
      <c r="AW177" s="217">
        <f t="shared" si="50"/>
        <v>5</v>
      </c>
      <c r="AX177" s="217">
        <f t="shared" si="51"/>
        <v>5</v>
      </c>
      <c r="AY177" s="217">
        <f t="shared" si="52"/>
        <v>5</v>
      </c>
      <c r="AZ177" s="217">
        <f t="shared" si="53"/>
        <v>5</v>
      </c>
      <c r="BA177" s="217">
        <f t="shared" si="54"/>
        <v>0</v>
      </c>
      <c r="BB177" s="217">
        <f t="shared" si="55"/>
        <v>5</v>
      </c>
      <c r="BC177" s="217">
        <f t="shared" si="56"/>
        <v>70</v>
      </c>
      <c r="BD177" s="217"/>
      <c r="BE177" s="217">
        <f t="shared" si="57"/>
        <v>5</v>
      </c>
      <c r="BF177" s="217">
        <f t="shared" si="58"/>
        <v>5</v>
      </c>
      <c r="BG177" s="217">
        <f t="shared" si="59"/>
        <v>5</v>
      </c>
      <c r="BH177" s="217">
        <f t="shared" si="60"/>
        <v>5</v>
      </c>
      <c r="BI177" s="217">
        <f t="shared" si="61"/>
        <v>0</v>
      </c>
      <c r="BJ177" s="217">
        <f t="shared" si="62"/>
        <v>5</v>
      </c>
      <c r="BK177" s="217">
        <f t="shared" si="63"/>
        <v>70</v>
      </c>
    </row>
    <row r="178" spans="2:63" s="372" customFormat="1" ht="30" customHeight="1" x14ac:dyDescent="0.35">
      <c r="B178" s="373" t="s">
        <v>737</v>
      </c>
      <c r="C178" s="374" t="s">
        <v>727</v>
      </c>
      <c r="D178" s="375" t="s">
        <v>351</v>
      </c>
      <c r="E178" s="375" t="s">
        <v>351</v>
      </c>
      <c r="F178" s="383">
        <f>7+21.86086/60</f>
        <v>7.3643476666666663</v>
      </c>
      <c r="G178" s="383">
        <f>134+31.906966/60</f>
        <v>134.53178276666668</v>
      </c>
      <c r="H178" s="383">
        <f>7+21/60+40/3600</f>
        <v>7.3611111111111107</v>
      </c>
      <c r="I178" s="383">
        <f>134+31/60+50/3600</f>
        <v>134.53055555555557</v>
      </c>
      <c r="J178" s="375" t="s">
        <v>365</v>
      </c>
      <c r="K178" s="377" t="s">
        <v>380</v>
      </c>
      <c r="L178" s="375">
        <v>2020</v>
      </c>
      <c r="M178" s="378">
        <v>440</v>
      </c>
      <c r="N178" s="379">
        <v>7.3</v>
      </c>
      <c r="O178" s="375">
        <v>2</v>
      </c>
      <c r="P178" s="375" t="s">
        <v>272</v>
      </c>
      <c r="Q178" s="375" t="s">
        <v>728</v>
      </c>
      <c r="R178" s="375" t="s">
        <v>270</v>
      </c>
      <c r="S178" s="380" t="s">
        <v>729</v>
      </c>
      <c r="T178" s="154">
        <v>5</v>
      </c>
      <c r="U178" s="154">
        <v>5</v>
      </c>
      <c r="V178" s="154">
        <v>5</v>
      </c>
      <c r="W178" s="154">
        <v>4</v>
      </c>
      <c r="X178" s="154">
        <v>5</v>
      </c>
      <c r="Y178" s="154">
        <v>5</v>
      </c>
      <c r="Z178" s="154">
        <f t="shared" si="64"/>
        <v>99</v>
      </c>
      <c r="AA178" s="405">
        <f t="shared" si="47"/>
        <v>220000</v>
      </c>
      <c r="AB178" s="405">
        <f t="shared" si="48"/>
        <v>132000</v>
      </c>
      <c r="AC178" s="407">
        <f t="shared" si="49"/>
        <v>2000</v>
      </c>
      <c r="AD178" s="343"/>
      <c r="AE178" s="343"/>
      <c r="AF178" s="343"/>
      <c r="AG178" s="343"/>
      <c r="AH178" s="381"/>
      <c r="AI178" s="381"/>
      <c r="AJ178" s="381"/>
      <c r="AK178" s="381"/>
      <c r="AW178" s="217">
        <f t="shared" si="50"/>
        <v>5</v>
      </c>
      <c r="AX178" s="217">
        <f t="shared" si="51"/>
        <v>5</v>
      </c>
      <c r="AY178" s="217">
        <f t="shared" si="52"/>
        <v>5</v>
      </c>
      <c r="AZ178" s="217">
        <f t="shared" si="53"/>
        <v>4</v>
      </c>
      <c r="BA178" s="217">
        <f t="shared" si="54"/>
        <v>5</v>
      </c>
      <c r="BB178" s="217">
        <f t="shared" si="55"/>
        <v>5</v>
      </c>
      <c r="BC178" s="217">
        <f t="shared" si="56"/>
        <v>74</v>
      </c>
      <c r="BD178" s="217"/>
      <c r="BE178" s="217">
        <f t="shared" si="57"/>
        <v>5</v>
      </c>
      <c r="BF178" s="217">
        <f t="shared" si="58"/>
        <v>5</v>
      </c>
      <c r="BG178" s="217">
        <f t="shared" si="59"/>
        <v>5</v>
      </c>
      <c r="BH178" s="217">
        <f t="shared" si="60"/>
        <v>5</v>
      </c>
      <c r="BI178" s="217">
        <f t="shared" si="61"/>
        <v>5</v>
      </c>
      <c r="BJ178" s="217">
        <f t="shared" si="62"/>
        <v>5</v>
      </c>
      <c r="BK178" s="217">
        <f t="shared" si="63"/>
        <v>75</v>
      </c>
    </row>
    <row r="179" spans="2:63" s="372" customFormat="1" ht="30" customHeight="1" x14ac:dyDescent="0.35">
      <c r="B179" s="373" t="s">
        <v>736</v>
      </c>
      <c r="C179" s="374" t="s">
        <v>731</v>
      </c>
      <c r="D179" s="375" t="s">
        <v>351</v>
      </c>
      <c r="E179" s="375" t="s">
        <v>351</v>
      </c>
      <c r="F179" s="383">
        <f>7+21/60+40/3600</f>
        <v>7.3611111111111107</v>
      </c>
      <c r="G179" s="383">
        <f>134+31/60+50/3600</f>
        <v>134.53055555555557</v>
      </c>
      <c r="H179" s="383">
        <f>7+21/60+34/3600</f>
        <v>7.3594444444444438</v>
      </c>
      <c r="I179" s="383">
        <f>134+31/60+41/3600</f>
        <v>134.52805555555557</v>
      </c>
      <c r="J179" s="375" t="s">
        <v>365</v>
      </c>
      <c r="K179" s="377" t="s">
        <v>380</v>
      </c>
      <c r="L179" s="375">
        <v>2018</v>
      </c>
      <c r="M179" s="378">
        <v>315</v>
      </c>
      <c r="N179" s="379">
        <v>7.3</v>
      </c>
      <c r="O179" s="375">
        <v>2</v>
      </c>
      <c r="P179" s="375" t="s">
        <v>272</v>
      </c>
      <c r="Q179" s="375" t="s">
        <v>275</v>
      </c>
      <c r="R179" s="375" t="s">
        <v>270</v>
      </c>
      <c r="S179" s="380" t="s">
        <v>732</v>
      </c>
      <c r="T179" s="154">
        <v>1</v>
      </c>
      <c r="U179" s="154">
        <v>2</v>
      </c>
      <c r="V179" s="154">
        <v>3</v>
      </c>
      <c r="W179" s="154">
        <v>2</v>
      </c>
      <c r="X179" s="154">
        <v>3</v>
      </c>
      <c r="Y179" s="154">
        <v>2</v>
      </c>
      <c r="Z179" s="154">
        <f t="shared" si="64"/>
        <v>38</v>
      </c>
      <c r="AA179" s="405">
        <f t="shared" si="47"/>
        <v>157500</v>
      </c>
      <c r="AB179" s="405">
        <f t="shared" si="48"/>
        <v>94500</v>
      </c>
      <c r="AC179" s="407">
        <f t="shared" si="49"/>
        <v>1400</v>
      </c>
      <c r="AD179" s="343"/>
      <c r="AE179" s="343"/>
      <c r="AF179" s="343"/>
      <c r="AG179" s="343"/>
      <c r="AH179" s="381">
        <f t="shared" si="67"/>
        <v>63000</v>
      </c>
      <c r="AI179" s="381">
        <f t="shared" si="66"/>
        <v>94500</v>
      </c>
      <c r="AJ179" s="381"/>
      <c r="AK179" s="381"/>
      <c r="AW179" s="217">
        <f t="shared" si="50"/>
        <v>1</v>
      </c>
      <c r="AX179" s="217">
        <f t="shared" si="51"/>
        <v>2</v>
      </c>
      <c r="AY179" s="217">
        <f t="shared" si="52"/>
        <v>3</v>
      </c>
      <c r="AZ179" s="217">
        <f t="shared" si="53"/>
        <v>2</v>
      </c>
      <c r="BA179" s="217">
        <f t="shared" si="54"/>
        <v>3</v>
      </c>
      <c r="BB179" s="217">
        <f t="shared" si="55"/>
        <v>2</v>
      </c>
      <c r="BC179" s="217">
        <f t="shared" si="56"/>
        <v>28</v>
      </c>
      <c r="BD179" s="217"/>
      <c r="BE179" s="217">
        <f t="shared" si="57"/>
        <v>5</v>
      </c>
      <c r="BF179" s="217">
        <f t="shared" si="58"/>
        <v>5</v>
      </c>
      <c r="BG179" s="217">
        <f t="shared" si="59"/>
        <v>5</v>
      </c>
      <c r="BH179" s="217">
        <f t="shared" si="60"/>
        <v>5</v>
      </c>
      <c r="BI179" s="217">
        <f t="shared" si="61"/>
        <v>5</v>
      </c>
      <c r="BJ179" s="217">
        <f t="shared" si="62"/>
        <v>5</v>
      </c>
      <c r="BK179" s="217">
        <f t="shared" si="63"/>
        <v>75</v>
      </c>
    </row>
    <row r="180" spans="2:63" s="372" customFormat="1" ht="30" customHeight="1" x14ac:dyDescent="0.35">
      <c r="B180" s="373" t="s">
        <v>742</v>
      </c>
      <c r="C180" s="374" t="s">
        <v>734</v>
      </c>
      <c r="D180" s="375" t="s">
        <v>351</v>
      </c>
      <c r="E180" s="375" t="s">
        <v>351</v>
      </c>
      <c r="F180" s="383">
        <f>7+21/60+35/3600</f>
        <v>7.3597222222222216</v>
      </c>
      <c r="G180" s="383">
        <f>134+31/60+40/3600</f>
        <v>134.5277777777778</v>
      </c>
      <c r="H180" s="383">
        <f>7+21/60+26/3600</f>
        <v>7.3572222222222221</v>
      </c>
      <c r="I180" s="383">
        <f>134+31/60+58/3600</f>
        <v>134.5327777777778</v>
      </c>
      <c r="J180" s="375" t="s">
        <v>99</v>
      </c>
      <c r="K180" s="377">
        <v>1994</v>
      </c>
      <c r="L180" s="375">
        <v>2017</v>
      </c>
      <c r="M180" s="378">
        <v>315</v>
      </c>
      <c r="N180" s="379">
        <v>7.3</v>
      </c>
      <c r="O180" s="375">
        <v>2</v>
      </c>
      <c r="P180" s="375" t="s">
        <v>83</v>
      </c>
      <c r="Q180" s="375" t="s">
        <v>275</v>
      </c>
      <c r="R180" s="375" t="s">
        <v>270</v>
      </c>
      <c r="S180" s="380" t="s">
        <v>732</v>
      </c>
      <c r="T180" s="154">
        <v>5</v>
      </c>
      <c r="U180" s="154">
        <v>5</v>
      </c>
      <c r="V180" s="154">
        <v>5</v>
      </c>
      <c r="W180" s="154">
        <v>5</v>
      </c>
      <c r="X180" s="154">
        <v>5</v>
      </c>
      <c r="Y180" s="154">
        <v>5</v>
      </c>
      <c r="Z180" s="154">
        <f t="shared" si="64"/>
        <v>100</v>
      </c>
      <c r="AA180" s="405">
        <f t="shared" si="47"/>
        <v>157500</v>
      </c>
      <c r="AB180" s="405">
        <f t="shared" si="48"/>
        <v>94500</v>
      </c>
      <c r="AC180" s="407">
        <f t="shared" si="49"/>
        <v>1400</v>
      </c>
      <c r="AD180" s="343"/>
      <c r="AE180" s="343"/>
      <c r="AF180" s="343"/>
      <c r="AG180" s="343"/>
      <c r="AH180" s="381"/>
      <c r="AI180" s="381"/>
      <c r="AJ180" s="381"/>
      <c r="AK180" s="381"/>
      <c r="AW180" s="217">
        <f t="shared" si="50"/>
        <v>5</v>
      </c>
      <c r="AX180" s="217">
        <f t="shared" si="51"/>
        <v>5</v>
      </c>
      <c r="AY180" s="217">
        <f t="shared" si="52"/>
        <v>5</v>
      </c>
      <c r="AZ180" s="217">
        <f t="shared" si="53"/>
        <v>5</v>
      </c>
      <c r="BA180" s="217">
        <f t="shared" si="54"/>
        <v>5</v>
      </c>
      <c r="BB180" s="217">
        <f t="shared" si="55"/>
        <v>5</v>
      </c>
      <c r="BC180" s="217">
        <f t="shared" si="56"/>
        <v>75</v>
      </c>
      <c r="BD180" s="217"/>
      <c r="BE180" s="217">
        <f t="shared" si="57"/>
        <v>5</v>
      </c>
      <c r="BF180" s="217">
        <f t="shared" si="58"/>
        <v>5</v>
      </c>
      <c r="BG180" s="217">
        <f t="shared" si="59"/>
        <v>5</v>
      </c>
      <c r="BH180" s="217">
        <f t="shared" si="60"/>
        <v>5</v>
      </c>
      <c r="BI180" s="217">
        <f t="shared" si="61"/>
        <v>5</v>
      </c>
      <c r="BJ180" s="217">
        <f t="shared" si="62"/>
        <v>5</v>
      </c>
      <c r="BK180" s="217">
        <f t="shared" si="63"/>
        <v>75</v>
      </c>
    </row>
    <row r="181" spans="2:63" s="372" customFormat="1" ht="30" customHeight="1" x14ac:dyDescent="0.35">
      <c r="B181" s="373" t="s">
        <v>743</v>
      </c>
      <c r="C181" s="374" t="s">
        <v>735</v>
      </c>
      <c r="D181" s="375" t="s">
        <v>351</v>
      </c>
      <c r="E181" s="375" t="s">
        <v>351</v>
      </c>
      <c r="F181" s="383">
        <f>7+21/60+26/3600</f>
        <v>7.3572222222222221</v>
      </c>
      <c r="G181" s="383">
        <f>134+31/60+58/3600</f>
        <v>134.5327777777778</v>
      </c>
      <c r="H181" s="383">
        <f>7+21/60+19/3600</f>
        <v>7.3552777777777774</v>
      </c>
      <c r="I181" s="383">
        <f>134+32/60+12/3600</f>
        <v>134.53666666666666</v>
      </c>
      <c r="J181" s="375" t="s">
        <v>99</v>
      </c>
      <c r="K181" s="377">
        <v>1994</v>
      </c>
      <c r="L181" s="375">
        <v>2007</v>
      </c>
      <c r="M181" s="378">
        <v>610</v>
      </c>
      <c r="N181" s="379">
        <v>7.3</v>
      </c>
      <c r="O181" s="375">
        <v>2</v>
      </c>
      <c r="P181" s="375" t="s">
        <v>83</v>
      </c>
      <c r="Q181" s="375" t="s">
        <v>275</v>
      </c>
      <c r="R181" s="375" t="s">
        <v>270</v>
      </c>
      <c r="S181" s="380" t="s">
        <v>732</v>
      </c>
      <c r="T181" s="154">
        <v>4</v>
      </c>
      <c r="U181" s="154">
        <v>4</v>
      </c>
      <c r="V181" s="154">
        <v>5</v>
      </c>
      <c r="W181" s="154">
        <v>5</v>
      </c>
      <c r="X181" s="154">
        <v>5</v>
      </c>
      <c r="Y181" s="154">
        <v>5</v>
      </c>
      <c r="Z181" s="154">
        <f t="shared" si="64"/>
        <v>90</v>
      </c>
      <c r="AA181" s="405">
        <f t="shared" si="47"/>
        <v>305000</v>
      </c>
      <c r="AB181" s="405">
        <f t="shared" si="48"/>
        <v>183000</v>
      </c>
      <c r="AC181" s="407">
        <f t="shared" si="49"/>
        <v>2700</v>
      </c>
      <c r="AD181" s="343"/>
      <c r="AE181" s="343"/>
      <c r="AF181" s="343"/>
      <c r="AG181" s="343"/>
      <c r="AH181" s="381"/>
      <c r="AI181" s="381"/>
      <c r="AJ181" s="381"/>
      <c r="AK181" s="381"/>
      <c r="AW181" s="217">
        <f t="shared" si="50"/>
        <v>4</v>
      </c>
      <c r="AX181" s="217">
        <f t="shared" si="51"/>
        <v>4</v>
      </c>
      <c r="AY181" s="217">
        <f t="shared" si="52"/>
        <v>5</v>
      </c>
      <c r="AZ181" s="217">
        <f t="shared" si="53"/>
        <v>5</v>
      </c>
      <c r="BA181" s="217">
        <f t="shared" si="54"/>
        <v>5</v>
      </c>
      <c r="BB181" s="217">
        <f t="shared" si="55"/>
        <v>5</v>
      </c>
      <c r="BC181" s="217">
        <f t="shared" si="56"/>
        <v>67</v>
      </c>
      <c r="BD181" s="217"/>
      <c r="BE181" s="217">
        <f t="shared" si="57"/>
        <v>5</v>
      </c>
      <c r="BF181" s="217">
        <f t="shared" si="58"/>
        <v>5</v>
      </c>
      <c r="BG181" s="217">
        <f t="shared" si="59"/>
        <v>5</v>
      </c>
      <c r="BH181" s="217">
        <f t="shared" si="60"/>
        <v>5</v>
      </c>
      <c r="BI181" s="217">
        <f t="shared" si="61"/>
        <v>5</v>
      </c>
      <c r="BJ181" s="217">
        <f t="shared" si="62"/>
        <v>5</v>
      </c>
      <c r="BK181" s="217">
        <f t="shared" si="63"/>
        <v>75</v>
      </c>
    </row>
    <row r="182" spans="2:63" s="372" customFormat="1" ht="30" customHeight="1" x14ac:dyDescent="0.35">
      <c r="B182" s="373" t="s">
        <v>745</v>
      </c>
      <c r="C182" s="374" t="s">
        <v>738</v>
      </c>
      <c r="D182" s="375" t="s">
        <v>351</v>
      </c>
      <c r="E182" s="375" t="s">
        <v>739</v>
      </c>
      <c r="F182" s="383">
        <f>7+21/60+19/3600</f>
        <v>7.3552777777777774</v>
      </c>
      <c r="G182" s="383">
        <f>134+32/60+12/3600</f>
        <v>134.53666666666666</v>
      </c>
      <c r="H182" s="383">
        <f>7+21/60+26/3600</f>
        <v>7.3572222222222221</v>
      </c>
      <c r="I182" s="383">
        <f>134+32/60+31/3600</f>
        <v>134.54194444444445</v>
      </c>
      <c r="J182" s="375" t="s">
        <v>99</v>
      </c>
      <c r="K182" s="377">
        <v>1994</v>
      </c>
      <c r="L182" s="375">
        <v>2007</v>
      </c>
      <c r="M182" s="378">
        <v>615</v>
      </c>
      <c r="N182" s="379">
        <v>7.3</v>
      </c>
      <c r="O182" s="375">
        <v>2</v>
      </c>
      <c r="P182" s="375" t="s">
        <v>83</v>
      </c>
      <c r="Q182" s="375" t="s">
        <v>275</v>
      </c>
      <c r="R182" s="375" t="s">
        <v>270</v>
      </c>
      <c r="S182" s="380" t="s">
        <v>732</v>
      </c>
      <c r="T182" s="154">
        <v>2</v>
      </c>
      <c r="U182" s="154">
        <v>3</v>
      </c>
      <c r="V182" s="154">
        <v>5</v>
      </c>
      <c r="W182" s="154">
        <v>4</v>
      </c>
      <c r="X182" s="154">
        <v>5</v>
      </c>
      <c r="Y182" s="154">
        <v>4</v>
      </c>
      <c r="Z182" s="154">
        <f t="shared" si="64"/>
        <v>67</v>
      </c>
      <c r="AA182" s="405">
        <f t="shared" si="47"/>
        <v>307500</v>
      </c>
      <c r="AB182" s="405">
        <f t="shared" si="48"/>
        <v>184500</v>
      </c>
      <c r="AC182" s="407">
        <f t="shared" si="49"/>
        <v>2800</v>
      </c>
      <c r="AD182" s="343"/>
      <c r="AE182" s="343"/>
      <c r="AF182" s="343"/>
      <c r="AG182" s="343"/>
      <c r="AH182" s="381">
        <f t="shared" si="67"/>
        <v>123000</v>
      </c>
      <c r="AI182" s="381"/>
      <c r="AJ182" s="381"/>
      <c r="AK182" s="381"/>
      <c r="AW182" s="217">
        <f t="shared" si="50"/>
        <v>2</v>
      </c>
      <c r="AX182" s="217">
        <f t="shared" si="51"/>
        <v>3</v>
      </c>
      <c r="AY182" s="217">
        <f t="shared" si="52"/>
        <v>5</v>
      </c>
      <c r="AZ182" s="217">
        <f t="shared" si="53"/>
        <v>4</v>
      </c>
      <c r="BA182" s="217">
        <f t="shared" si="54"/>
        <v>5</v>
      </c>
      <c r="BB182" s="217">
        <f t="shared" si="55"/>
        <v>4</v>
      </c>
      <c r="BC182" s="217">
        <f t="shared" si="56"/>
        <v>50</v>
      </c>
      <c r="BD182" s="217"/>
      <c r="BE182" s="217">
        <f t="shared" si="57"/>
        <v>5</v>
      </c>
      <c r="BF182" s="217">
        <f t="shared" si="58"/>
        <v>5</v>
      </c>
      <c r="BG182" s="217">
        <f t="shared" si="59"/>
        <v>5</v>
      </c>
      <c r="BH182" s="217">
        <f t="shared" si="60"/>
        <v>5</v>
      </c>
      <c r="BI182" s="217">
        <f t="shared" si="61"/>
        <v>5</v>
      </c>
      <c r="BJ182" s="217">
        <f t="shared" si="62"/>
        <v>5</v>
      </c>
      <c r="BK182" s="217">
        <f t="shared" si="63"/>
        <v>75</v>
      </c>
    </row>
    <row r="183" spans="2:63" s="372" customFormat="1" ht="30" customHeight="1" x14ac:dyDescent="0.35">
      <c r="B183" s="373" t="s">
        <v>747</v>
      </c>
      <c r="C183" s="374" t="s">
        <v>741</v>
      </c>
      <c r="D183" s="375" t="s">
        <v>739</v>
      </c>
      <c r="E183" s="375" t="s">
        <v>739</v>
      </c>
      <c r="F183" s="383">
        <f>7+21/60+26/3600</f>
        <v>7.3572222222222221</v>
      </c>
      <c r="G183" s="383">
        <f>134+32/60+31/3600</f>
        <v>134.54194444444445</v>
      </c>
      <c r="H183" s="383">
        <f>7+21/60+34/3600</f>
        <v>7.3594444444444438</v>
      </c>
      <c r="I183" s="383">
        <f>134+32/60+45/3600</f>
        <v>134.54583333333332</v>
      </c>
      <c r="J183" s="375" t="s">
        <v>99</v>
      </c>
      <c r="K183" s="377">
        <v>1994</v>
      </c>
      <c r="L183" s="375">
        <v>2012</v>
      </c>
      <c r="M183" s="378">
        <v>330</v>
      </c>
      <c r="N183" s="379">
        <v>7.3</v>
      </c>
      <c r="O183" s="375">
        <v>2</v>
      </c>
      <c r="P183" s="375" t="s">
        <v>272</v>
      </c>
      <c r="Q183" s="375" t="s">
        <v>275</v>
      </c>
      <c r="R183" s="375" t="s">
        <v>270</v>
      </c>
      <c r="S183" s="380" t="s">
        <v>732</v>
      </c>
      <c r="T183" s="154">
        <v>5</v>
      </c>
      <c r="U183" s="154">
        <v>5</v>
      </c>
      <c r="V183" s="154">
        <v>5</v>
      </c>
      <c r="W183" s="154">
        <v>4</v>
      </c>
      <c r="X183" s="154">
        <v>5</v>
      </c>
      <c r="Y183" s="154">
        <v>5</v>
      </c>
      <c r="Z183" s="154">
        <f t="shared" si="64"/>
        <v>99</v>
      </c>
      <c r="AA183" s="405">
        <f t="shared" si="47"/>
        <v>165000</v>
      </c>
      <c r="AB183" s="405">
        <f t="shared" si="48"/>
        <v>99000</v>
      </c>
      <c r="AC183" s="407">
        <f t="shared" si="49"/>
        <v>1500</v>
      </c>
      <c r="AD183" s="343"/>
      <c r="AE183" s="343"/>
      <c r="AF183" s="343"/>
      <c r="AG183" s="343"/>
      <c r="AH183" s="381"/>
      <c r="AI183" s="381"/>
      <c r="AJ183" s="381"/>
      <c r="AK183" s="381"/>
      <c r="AW183" s="217">
        <f t="shared" si="50"/>
        <v>5</v>
      </c>
      <c r="AX183" s="217">
        <f t="shared" si="51"/>
        <v>5</v>
      </c>
      <c r="AY183" s="217">
        <f t="shared" si="52"/>
        <v>5</v>
      </c>
      <c r="AZ183" s="217">
        <f t="shared" si="53"/>
        <v>4</v>
      </c>
      <c r="BA183" s="217">
        <f t="shared" si="54"/>
        <v>5</v>
      </c>
      <c r="BB183" s="217">
        <f t="shared" si="55"/>
        <v>5</v>
      </c>
      <c r="BC183" s="217">
        <f t="shared" si="56"/>
        <v>74</v>
      </c>
      <c r="BD183" s="217"/>
      <c r="BE183" s="217">
        <f t="shared" si="57"/>
        <v>5</v>
      </c>
      <c r="BF183" s="217">
        <f t="shared" si="58"/>
        <v>5</v>
      </c>
      <c r="BG183" s="217">
        <f t="shared" si="59"/>
        <v>5</v>
      </c>
      <c r="BH183" s="217">
        <f t="shared" si="60"/>
        <v>5</v>
      </c>
      <c r="BI183" s="217">
        <f t="shared" si="61"/>
        <v>5</v>
      </c>
      <c r="BJ183" s="217">
        <f t="shared" si="62"/>
        <v>5</v>
      </c>
      <c r="BK183" s="217">
        <f t="shared" si="63"/>
        <v>75</v>
      </c>
    </row>
    <row r="184" spans="2:63" s="372" customFormat="1" ht="30" customHeight="1" x14ac:dyDescent="0.35">
      <c r="B184" s="373" t="s">
        <v>749</v>
      </c>
      <c r="C184" s="374" t="s">
        <v>744</v>
      </c>
      <c r="D184" s="375" t="s">
        <v>739</v>
      </c>
      <c r="E184" s="375" t="s">
        <v>739</v>
      </c>
      <c r="F184" s="383">
        <f>7+21/60+34/3600</f>
        <v>7.3594444444444438</v>
      </c>
      <c r="G184" s="383">
        <f>134+32/60+45/3600</f>
        <v>134.54583333333332</v>
      </c>
      <c r="H184" s="383">
        <f>7+21/60+33/3600</f>
        <v>7.359166666666666</v>
      </c>
      <c r="I184" s="383">
        <f>134+33/60+5/3600</f>
        <v>134.55138888888891</v>
      </c>
      <c r="J184" s="375" t="s">
        <v>99</v>
      </c>
      <c r="K184" s="377">
        <v>1994</v>
      </c>
      <c r="L184" s="375">
        <v>2017</v>
      </c>
      <c r="M184" s="378">
        <v>825</v>
      </c>
      <c r="N184" s="379">
        <v>6.4</v>
      </c>
      <c r="O184" s="375">
        <v>2</v>
      </c>
      <c r="P184" s="375" t="s">
        <v>272</v>
      </c>
      <c r="Q184" s="375" t="s">
        <v>275</v>
      </c>
      <c r="R184" s="375" t="s">
        <v>270</v>
      </c>
      <c r="S184" s="380" t="s">
        <v>732</v>
      </c>
      <c r="T184" s="154">
        <v>5</v>
      </c>
      <c r="U184" s="154">
        <v>5</v>
      </c>
      <c r="V184" s="154">
        <v>5</v>
      </c>
      <c r="W184" s="154">
        <v>5</v>
      </c>
      <c r="X184" s="154">
        <v>5</v>
      </c>
      <c r="Y184" s="154">
        <v>5</v>
      </c>
      <c r="Z184" s="154">
        <f t="shared" si="64"/>
        <v>100</v>
      </c>
      <c r="AA184" s="405">
        <f t="shared" si="47"/>
        <v>412500</v>
      </c>
      <c r="AB184" s="405">
        <f t="shared" si="48"/>
        <v>247500</v>
      </c>
      <c r="AC184" s="407">
        <f t="shared" si="49"/>
        <v>3700</v>
      </c>
      <c r="AD184" s="343"/>
      <c r="AE184" s="343"/>
      <c r="AF184" s="343"/>
      <c r="AG184" s="343"/>
      <c r="AH184" s="381"/>
      <c r="AI184" s="381"/>
      <c r="AJ184" s="381"/>
      <c r="AK184" s="381"/>
      <c r="AW184" s="217">
        <f t="shared" si="50"/>
        <v>5</v>
      </c>
      <c r="AX184" s="217">
        <f t="shared" si="51"/>
        <v>5</v>
      </c>
      <c r="AY184" s="217">
        <f t="shared" si="52"/>
        <v>5</v>
      </c>
      <c r="AZ184" s="217">
        <f t="shared" si="53"/>
        <v>5</v>
      </c>
      <c r="BA184" s="217">
        <f t="shared" si="54"/>
        <v>5</v>
      </c>
      <c r="BB184" s="217">
        <f t="shared" si="55"/>
        <v>5</v>
      </c>
      <c r="BC184" s="217">
        <f t="shared" si="56"/>
        <v>75</v>
      </c>
      <c r="BD184" s="217"/>
      <c r="BE184" s="217">
        <f t="shared" si="57"/>
        <v>5</v>
      </c>
      <c r="BF184" s="217">
        <f t="shared" si="58"/>
        <v>5</v>
      </c>
      <c r="BG184" s="217">
        <f t="shared" si="59"/>
        <v>5</v>
      </c>
      <c r="BH184" s="217">
        <f t="shared" si="60"/>
        <v>5</v>
      </c>
      <c r="BI184" s="217">
        <f t="shared" si="61"/>
        <v>5</v>
      </c>
      <c r="BJ184" s="217">
        <f t="shared" si="62"/>
        <v>5</v>
      </c>
      <c r="BK184" s="217">
        <f t="shared" si="63"/>
        <v>75</v>
      </c>
    </row>
    <row r="185" spans="2:63" s="372" customFormat="1" ht="30" customHeight="1" x14ac:dyDescent="0.35">
      <c r="B185" s="373" t="s">
        <v>753</v>
      </c>
      <c r="C185" s="374" t="s">
        <v>746</v>
      </c>
      <c r="D185" s="375" t="s">
        <v>739</v>
      </c>
      <c r="E185" s="375" t="s">
        <v>1247</v>
      </c>
      <c r="F185" s="383">
        <f>7+21/60+33/3600</f>
        <v>7.359166666666666</v>
      </c>
      <c r="G185" s="383">
        <f>134+33/60+5/3600</f>
        <v>134.55138888888891</v>
      </c>
      <c r="H185" s="383">
        <f>7+21/60+36/3600</f>
        <v>7.3599999999999994</v>
      </c>
      <c r="I185" s="383">
        <f>134+33/60+23/3600</f>
        <v>134.5563888888889</v>
      </c>
      <c r="J185" s="375" t="s">
        <v>99</v>
      </c>
      <c r="K185" s="377">
        <v>1994</v>
      </c>
      <c r="L185" s="375">
        <v>2011</v>
      </c>
      <c r="M185" s="378">
        <v>620</v>
      </c>
      <c r="N185" s="379">
        <v>6.4</v>
      </c>
      <c r="O185" s="375">
        <v>2</v>
      </c>
      <c r="P185" s="375" t="s">
        <v>272</v>
      </c>
      <c r="Q185" s="375" t="s">
        <v>275</v>
      </c>
      <c r="R185" s="375" t="s">
        <v>291</v>
      </c>
      <c r="S185" s="380" t="s">
        <v>752</v>
      </c>
      <c r="T185" s="154">
        <v>4</v>
      </c>
      <c r="U185" s="154">
        <v>4</v>
      </c>
      <c r="V185" s="154">
        <v>5</v>
      </c>
      <c r="W185" s="154">
        <v>5</v>
      </c>
      <c r="X185" s="154">
        <v>5</v>
      </c>
      <c r="Y185" s="154">
        <v>5</v>
      </c>
      <c r="Z185" s="154">
        <f t="shared" si="64"/>
        <v>90</v>
      </c>
      <c r="AA185" s="405">
        <f t="shared" si="47"/>
        <v>310000</v>
      </c>
      <c r="AB185" s="405">
        <f t="shared" si="48"/>
        <v>186000</v>
      </c>
      <c r="AC185" s="407">
        <f t="shared" si="49"/>
        <v>2800</v>
      </c>
      <c r="AD185" s="343"/>
      <c r="AE185" s="343"/>
      <c r="AF185" s="343"/>
      <c r="AG185" s="343"/>
      <c r="AH185" s="381"/>
      <c r="AI185" s="381"/>
      <c r="AJ185" s="381"/>
      <c r="AK185" s="381"/>
      <c r="AW185" s="217">
        <f t="shared" si="50"/>
        <v>4</v>
      </c>
      <c r="AX185" s="217">
        <f t="shared" si="51"/>
        <v>4</v>
      </c>
      <c r="AY185" s="217">
        <f t="shared" si="52"/>
        <v>5</v>
      </c>
      <c r="AZ185" s="217">
        <f t="shared" si="53"/>
        <v>5</v>
      </c>
      <c r="BA185" s="217">
        <f t="shared" si="54"/>
        <v>5</v>
      </c>
      <c r="BB185" s="217">
        <f t="shared" si="55"/>
        <v>5</v>
      </c>
      <c r="BC185" s="217">
        <f t="shared" si="56"/>
        <v>67</v>
      </c>
      <c r="BD185" s="217"/>
      <c r="BE185" s="217">
        <f t="shared" si="57"/>
        <v>5</v>
      </c>
      <c r="BF185" s="217">
        <f t="shared" si="58"/>
        <v>5</v>
      </c>
      <c r="BG185" s="217">
        <f t="shared" si="59"/>
        <v>5</v>
      </c>
      <c r="BH185" s="217">
        <f t="shared" si="60"/>
        <v>5</v>
      </c>
      <c r="BI185" s="217">
        <f t="shared" si="61"/>
        <v>5</v>
      </c>
      <c r="BJ185" s="217">
        <f t="shared" si="62"/>
        <v>5</v>
      </c>
      <c r="BK185" s="217">
        <f t="shared" si="63"/>
        <v>75</v>
      </c>
    </row>
    <row r="186" spans="2:63" s="372" customFormat="1" ht="30" customHeight="1" x14ac:dyDescent="0.35">
      <c r="B186" s="373" t="s">
        <v>755</v>
      </c>
      <c r="C186" s="374" t="s">
        <v>748</v>
      </c>
      <c r="D186" s="375" t="s">
        <v>1247</v>
      </c>
      <c r="E186" s="375" t="s">
        <v>1247</v>
      </c>
      <c r="F186" s="383">
        <f>7+21/60+36/3600</f>
        <v>7.3599999999999994</v>
      </c>
      <c r="G186" s="383">
        <f>134+33/60+23/3600</f>
        <v>134.5563888888889</v>
      </c>
      <c r="H186" s="383">
        <f>7+21/60+33/3600</f>
        <v>7.359166666666666</v>
      </c>
      <c r="I186" s="383">
        <f>134+33/60+40/3600</f>
        <v>134.56111111111113</v>
      </c>
      <c r="J186" s="375" t="s">
        <v>99</v>
      </c>
      <c r="K186" s="377">
        <v>1994</v>
      </c>
      <c r="L186" s="375">
        <v>2012</v>
      </c>
      <c r="M186" s="378">
        <v>735</v>
      </c>
      <c r="N186" s="379">
        <v>6.4</v>
      </c>
      <c r="O186" s="375">
        <v>2</v>
      </c>
      <c r="P186" s="375" t="s">
        <v>272</v>
      </c>
      <c r="Q186" s="375" t="s">
        <v>275</v>
      </c>
      <c r="R186" s="375" t="s">
        <v>291</v>
      </c>
      <c r="S186" s="380" t="s">
        <v>752</v>
      </c>
      <c r="T186" s="154">
        <v>5</v>
      </c>
      <c r="U186" s="154">
        <v>4</v>
      </c>
      <c r="V186" s="154">
        <v>5</v>
      </c>
      <c r="W186" s="154">
        <v>5</v>
      </c>
      <c r="X186" s="154">
        <v>5</v>
      </c>
      <c r="Y186" s="154">
        <v>5</v>
      </c>
      <c r="Z186" s="154">
        <f t="shared" si="64"/>
        <v>95</v>
      </c>
      <c r="AA186" s="405">
        <f t="shared" si="47"/>
        <v>367500</v>
      </c>
      <c r="AB186" s="405">
        <f t="shared" si="48"/>
        <v>220500</v>
      </c>
      <c r="AC186" s="407">
        <f t="shared" si="49"/>
        <v>3300</v>
      </c>
      <c r="AD186" s="343"/>
      <c r="AE186" s="343"/>
      <c r="AF186" s="343"/>
      <c r="AG186" s="343"/>
      <c r="AH186" s="381"/>
      <c r="AI186" s="381"/>
      <c r="AJ186" s="381"/>
      <c r="AK186" s="381"/>
      <c r="AW186" s="217">
        <f t="shared" si="50"/>
        <v>5</v>
      </c>
      <c r="AX186" s="217">
        <f t="shared" si="51"/>
        <v>4</v>
      </c>
      <c r="AY186" s="217">
        <f t="shared" si="52"/>
        <v>5</v>
      </c>
      <c r="AZ186" s="217">
        <f t="shared" si="53"/>
        <v>5</v>
      </c>
      <c r="BA186" s="217">
        <f t="shared" si="54"/>
        <v>5</v>
      </c>
      <c r="BB186" s="217">
        <f t="shared" si="55"/>
        <v>5</v>
      </c>
      <c r="BC186" s="217">
        <f t="shared" si="56"/>
        <v>71</v>
      </c>
      <c r="BD186" s="217"/>
      <c r="BE186" s="217">
        <f t="shared" si="57"/>
        <v>5</v>
      </c>
      <c r="BF186" s="217">
        <f t="shared" si="58"/>
        <v>5</v>
      </c>
      <c r="BG186" s="217">
        <f t="shared" si="59"/>
        <v>5</v>
      </c>
      <c r="BH186" s="217">
        <f t="shared" si="60"/>
        <v>5</v>
      </c>
      <c r="BI186" s="217">
        <f t="shared" si="61"/>
        <v>5</v>
      </c>
      <c r="BJ186" s="217">
        <f t="shared" si="62"/>
        <v>5</v>
      </c>
      <c r="BK186" s="217">
        <f t="shared" si="63"/>
        <v>75</v>
      </c>
    </row>
    <row r="187" spans="2:63" s="372" customFormat="1" ht="30" customHeight="1" x14ac:dyDescent="0.35">
      <c r="B187" s="373" t="s">
        <v>758</v>
      </c>
      <c r="C187" s="374" t="s">
        <v>750</v>
      </c>
      <c r="D187" s="375" t="s">
        <v>1247</v>
      </c>
      <c r="E187" s="375" t="s">
        <v>1247</v>
      </c>
      <c r="F187" s="383">
        <f>7+35/60+40/3600</f>
        <v>7.5944444444444441</v>
      </c>
      <c r="G187" s="383">
        <f>134+33/60+41/3600</f>
        <v>134.5613888888889</v>
      </c>
      <c r="H187" s="383">
        <f>7+21/60+40/3600</f>
        <v>7.3611111111111107</v>
      </c>
      <c r="I187" s="383">
        <f>134+33/60+41/3600</f>
        <v>134.5613888888889</v>
      </c>
      <c r="J187" s="375" t="s">
        <v>97</v>
      </c>
      <c r="K187" s="377">
        <v>1994</v>
      </c>
      <c r="L187" s="375" t="s">
        <v>311</v>
      </c>
      <c r="M187" s="378">
        <v>150</v>
      </c>
      <c r="N187" s="379">
        <v>6.4</v>
      </c>
      <c r="O187" s="375">
        <v>2</v>
      </c>
      <c r="P187" s="375" t="s">
        <v>272</v>
      </c>
      <c r="Q187" s="375" t="s">
        <v>751</v>
      </c>
      <c r="R187" s="375" t="s">
        <v>291</v>
      </c>
      <c r="S187" s="380" t="s">
        <v>92</v>
      </c>
      <c r="T187" s="154">
        <v>2</v>
      </c>
      <c r="U187" s="154">
        <v>2</v>
      </c>
      <c r="V187" s="154">
        <v>3</v>
      </c>
      <c r="W187" s="154">
        <v>3</v>
      </c>
      <c r="X187" s="154">
        <v>3</v>
      </c>
      <c r="Y187" s="154">
        <v>3</v>
      </c>
      <c r="Z187" s="154">
        <f t="shared" si="64"/>
        <v>50</v>
      </c>
      <c r="AA187" s="405">
        <f t="shared" si="47"/>
        <v>75000</v>
      </c>
      <c r="AB187" s="405">
        <f t="shared" si="48"/>
        <v>45000</v>
      </c>
      <c r="AC187" s="407">
        <f t="shared" si="49"/>
        <v>700</v>
      </c>
      <c r="AD187" s="343"/>
      <c r="AE187" s="343"/>
      <c r="AF187" s="343"/>
      <c r="AG187" s="343"/>
      <c r="AH187" s="381">
        <f t="shared" si="67"/>
        <v>30000</v>
      </c>
      <c r="AI187" s="381">
        <f t="shared" si="66"/>
        <v>45000</v>
      </c>
      <c r="AJ187" s="381"/>
      <c r="AK187" s="381"/>
      <c r="AW187" s="217">
        <f t="shared" si="50"/>
        <v>2</v>
      </c>
      <c r="AX187" s="217">
        <f t="shared" si="51"/>
        <v>2</v>
      </c>
      <c r="AY187" s="217">
        <f t="shared" si="52"/>
        <v>3</v>
      </c>
      <c r="AZ187" s="217">
        <f t="shared" si="53"/>
        <v>3</v>
      </c>
      <c r="BA187" s="217">
        <f t="shared" si="54"/>
        <v>3</v>
      </c>
      <c r="BB187" s="217">
        <f t="shared" si="55"/>
        <v>3</v>
      </c>
      <c r="BC187" s="217">
        <f t="shared" si="56"/>
        <v>37</v>
      </c>
      <c r="BD187" s="217"/>
      <c r="BE187" s="217">
        <f t="shared" si="57"/>
        <v>5</v>
      </c>
      <c r="BF187" s="217">
        <f t="shared" si="58"/>
        <v>5</v>
      </c>
      <c r="BG187" s="217">
        <f t="shared" si="59"/>
        <v>5</v>
      </c>
      <c r="BH187" s="217">
        <f t="shared" si="60"/>
        <v>5</v>
      </c>
      <c r="BI187" s="217">
        <f t="shared" si="61"/>
        <v>5</v>
      </c>
      <c r="BJ187" s="217">
        <f t="shared" si="62"/>
        <v>5</v>
      </c>
      <c r="BK187" s="217">
        <f t="shared" si="63"/>
        <v>75</v>
      </c>
    </row>
    <row r="188" spans="2:63" s="372" customFormat="1" ht="30" customHeight="1" x14ac:dyDescent="0.35">
      <c r="B188" s="373" t="s">
        <v>779</v>
      </c>
      <c r="C188" s="374" t="s">
        <v>754</v>
      </c>
      <c r="D188" s="375" t="s">
        <v>739</v>
      </c>
      <c r="E188" s="375" t="s">
        <v>739</v>
      </c>
      <c r="F188" s="383">
        <f>7+21/60+30/3600</f>
        <v>7.3583333333333334</v>
      </c>
      <c r="G188" s="383">
        <f>134+32/60+38/3600</f>
        <v>134.54388888888889</v>
      </c>
      <c r="H188" s="383">
        <f>7+21/60+51/3600</f>
        <v>7.3641666666666667</v>
      </c>
      <c r="I188" s="383">
        <f>134+32/60+33/3600</f>
        <v>134.54249999999999</v>
      </c>
      <c r="J188" s="375" t="s">
        <v>277</v>
      </c>
      <c r="K188" s="377">
        <v>2006</v>
      </c>
      <c r="L188" s="375" t="s">
        <v>311</v>
      </c>
      <c r="M188" s="378">
        <v>710</v>
      </c>
      <c r="N188" s="379">
        <v>6.1</v>
      </c>
      <c r="O188" s="375">
        <v>2</v>
      </c>
      <c r="P188" s="375" t="s">
        <v>272</v>
      </c>
      <c r="Q188" s="375" t="s">
        <v>275</v>
      </c>
      <c r="R188" s="375" t="s">
        <v>291</v>
      </c>
      <c r="S188" s="380" t="s">
        <v>752</v>
      </c>
      <c r="T188" s="154">
        <v>5</v>
      </c>
      <c r="U188" s="154">
        <v>4</v>
      </c>
      <c r="V188" s="154">
        <v>5</v>
      </c>
      <c r="W188" s="154">
        <v>5</v>
      </c>
      <c r="X188" s="154">
        <v>5</v>
      </c>
      <c r="Y188" s="154">
        <v>5</v>
      </c>
      <c r="Z188" s="154">
        <f t="shared" si="64"/>
        <v>95</v>
      </c>
      <c r="AA188" s="405">
        <f t="shared" si="47"/>
        <v>355000</v>
      </c>
      <c r="AB188" s="405">
        <f t="shared" si="48"/>
        <v>213000</v>
      </c>
      <c r="AC188" s="407">
        <f t="shared" si="49"/>
        <v>3200</v>
      </c>
      <c r="AD188" s="343"/>
      <c r="AE188" s="343"/>
      <c r="AF188" s="343"/>
      <c r="AG188" s="343"/>
      <c r="AH188" s="381"/>
      <c r="AI188" s="381"/>
      <c r="AJ188" s="381"/>
      <c r="AK188" s="381"/>
      <c r="AW188" s="217">
        <f t="shared" si="50"/>
        <v>5</v>
      </c>
      <c r="AX188" s="217">
        <f t="shared" si="51"/>
        <v>4</v>
      </c>
      <c r="AY188" s="217">
        <f t="shared" si="52"/>
        <v>5</v>
      </c>
      <c r="AZ188" s="217">
        <f t="shared" si="53"/>
        <v>5</v>
      </c>
      <c r="BA188" s="217">
        <f t="shared" si="54"/>
        <v>5</v>
      </c>
      <c r="BB188" s="217">
        <f t="shared" si="55"/>
        <v>5</v>
      </c>
      <c r="BC188" s="217">
        <f t="shared" si="56"/>
        <v>71</v>
      </c>
      <c r="BD188" s="217"/>
      <c r="BE188" s="217">
        <f t="shared" si="57"/>
        <v>5</v>
      </c>
      <c r="BF188" s="217">
        <f t="shared" si="58"/>
        <v>5</v>
      </c>
      <c r="BG188" s="217">
        <f t="shared" si="59"/>
        <v>5</v>
      </c>
      <c r="BH188" s="217">
        <f t="shared" si="60"/>
        <v>5</v>
      </c>
      <c r="BI188" s="217">
        <f t="shared" si="61"/>
        <v>5</v>
      </c>
      <c r="BJ188" s="217">
        <f t="shared" si="62"/>
        <v>5</v>
      </c>
      <c r="BK188" s="217">
        <f t="shared" si="63"/>
        <v>75</v>
      </c>
    </row>
    <row r="189" spans="2:63" s="372" customFormat="1" ht="30" customHeight="1" x14ac:dyDescent="0.35">
      <c r="B189" s="373" t="s">
        <v>780</v>
      </c>
      <c r="C189" s="374" t="s">
        <v>756</v>
      </c>
      <c r="D189" s="375" t="s">
        <v>351</v>
      </c>
      <c r="E189" s="375" t="s">
        <v>757</v>
      </c>
      <c r="F189" s="383">
        <f>7+21/60+35/3600</f>
        <v>7.3597222222222216</v>
      </c>
      <c r="G189" s="383">
        <f>134+31/60+40/3600</f>
        <v>134.5277777777778</v>
      </c>
      <c r="H189" s="383">
        <f>7+21/60+53/3600</f>
        <v>7.3647222222222215</v>
      </c>
      <c r="I189" s="383">
        <f>134+31/60+17/3600</f>
        <v>134.52138888888891</v>
      </c>
      <c r="J189" s="375" t="s">
        <v>365</v>
      </c>
      <c r="K189" s="377" t="s">
        <v>380</v>
      </c>
      <c r="L189" s="375">
        <v>2020</v>
      </c>
      <c r="M189" s="378">
        <v>1045</v>
      </c>
      <c r="N189" s="379">
        <v>7.3</v>
      </c>
      <c r="O189" s="375">
        <v>2</v>
      </c>
      <c r="P189" s="375" t="s">
        <v>272</v>
      </c>
      <c r="Q189" s="375" t="s">
        <v>728</v>
      </c>
      <c r="R189" s="375" t="s">
        <v>270</v>
      </c>
      <c r="S189" s="380" t="s">
        <v>729</v>
      </c>
      <c r="T189" s="154">
        <v>5</v>
      </c>
      <c r="U189" s="154">
        <v>5</v>
      </c>
      <c r="V189" s="154">
        <v>5</v>
      </c>
      <c r="W189" s="154">
        <v>4</v>
      </c>
      <c r="X189" s="154">
        <v>5</v>
      </c>
      <c r="Y189" s="154">
        <v>5</v>
      </c>
      <c r="Z189" s="154">
        <f t="shared" si="64"/>
        <v>99</v>
      </c>
      <c r="AA189" s="405">
        <f t="shared" si="47"/>
        <v>522500</v>
      </c>
      <c r="AB189" s="405">
        <f t="shared" si="48"/>
        <v>313500</v>
      </c>
      <c r="AC189" s="407">
        <f t="shared" si="49"/>
        <v>4700</v>
      </c>
      <c r="AD189" s="343"/>
      <c r="AE189" s="343"/>
      <c r="AF189" s="343"/>
      <c r="AG189" s="343"/>
      <c r="AH189" s="381"/>
      <c r="AI189" s="381"/>
      <c r="AJ189" s="381"/>
      <c r="AK189" s="381"/>
      <c r="AW189" s="217">
        <f t="shared" si="50"/>
        <v>5</v>
      </c>
      <c r="AX189" s="217">
        <f t="shared" si="51"/>
        <v>5</v>
      </c>
      <c r="AY189" s="217">
        <f t="shared" si="52"/>
        <v>5</v>
      </c>
      <c r="AZ189" s="217">
        <f t="shared" si="53"/>
        <v>4</v>
      </c>
      <c r="BA189" s="217">
        <f t="shared" si="54"/>
        <v>5</v>
      </c>
      <c r="BB189" s="217">
        <f t="shared" si="55"/>
        <v>5</v>
      </c>
      <c r="BC189" s="217">
        <f t="shared" si="56"/>
        <v>74</v>
      </c>
      <c r="BD189" s="217"/>
      <c r="BE189" s="217">
        <f t="shared" si="57"/>
        <v>5</v>
      </c>
      <c r="BF189" s="217">
        <f t="shared" si="58"/>
        <v>5</v>
      </c>
      <c r="BG189" s="217">
        <f t="shared" si="59"/>
        <v>5</v>
      </c>
      <c r="BH189" s="217">
        <f t="shared" si="60"/>
        <v>5</v>
      </c>
      <c r="BI189" s="217">
        <f t="shared" si="61"/>
        <v>5</v>
      </c>
      <c r="BJ189" s="217">
        <f t="shared" si="62"/>
        <v>5</v>
      </c>
      <c r="BK189" s="217">
        <f t="shared" si="63"/>
        <v>75</v>
      </c>
    </row>
    <row r="190" spans="2:63" s="372" customFormat="1" ht="30" customHeight="1" x14ac:dyDescent="0.35">
      <c r="B190" s="373" t="s">
        <v>781</v>
      </c>
      <c r="C190" s="374" t="s">
        <v>825</v>
      </c>
      <c r="D190" s="375" t="s">
        <v>757</v>
      </c>
      <c r="E190" s="375" t="s">
        <v>760</v>
      </c>
      <c r="F190" s="383">
        <f>7+21/60+53/3600</f>
        <v>7.3647222222222215</v>
      </c>
      <c r="G190" s="383">
        <f>134+31/60+17/3600</f>
        <v>134.52138888888891</v>
      </c>
      <c r="H190" s="383">
        <f>7+21/60+46/3600</f>
        <v>7.3627777777777776</v>
      </c>
      <c r="I190" s="383">
        <f>134+30/60+22/3600</f>
        <v>134.50611111111112</v>
      </c>
      <c r="J190" s="375" t="s">
        <v>365</v>
      </c>
      <c r="K190" s="377" t="s">
        <v>380</v>
      </c>
      <c r="L190" s="375">
        <v>2018</v>
      </c>
      <c r="M190" s="378">
        <v>2250</v>
      </c>
      <c r="N190" s="379">
        <v>7.3</v>
      </c>
      <c r="O190" s="375">
        <v>2</v>
      </c>
      <c r="P190" s="375" t="s">
        <v>272</v>
      </c>
      <c r="Q190" s="375" t="s">
        <v>728</v>
      </c>
      <c r="R190" s="375" t="s">
        <v>579</v>
      </c>
      <c r="S190" s="380" t="s">
        <v>729</v>
      </c>
      <c r="T190" s="154">
        <v>4</v>
      </c>
      <c r="U190" s="154">
        <v>3</v>
      </c>
      <c r="V190" s="154">
        <v>5</v>
      </c>
      <c r="W190" s="154">
        <v>4</v>
      </c>
      <c r="X190" s="154">
        <v>5</v>
      </c>
      <c r="Y190" s="154">
        <v>5</v>
      </c>
      <c r="Z190" s="154">
        <f t="shared" si="64"/>
        <v>83</v>
      </c>
      <c r="AA190" s="405">
        <f t="shared" si="47"/>
        <v>1125000</v>
      </c>
      <c r="AB190" s="405">
        <f t="shared" si="48"/>
        <v>675000</v>
      </c>
      <c r="AC190" s="407">
        <f t="shared" si="49"/>
        <v>10100</v>
      </c>
      <c r="AD190" s="343"/>
      <c r="AE190" s="343"/>
      <c r="AF190" s="343"/>
      <c r="AG190" s="343"/>
      <c r="AH190" s="381"/>
      <c r="AI190" s="381"/>
      <c r="AJ190" s="381"/>
      <c r="AK190" s="381"/>
      <c r="AW190" s="217">
        <f t="shared" si="50"/>
        <v>4</v>
      </c>
      <c r="AX190" s="217">
        <f t="shared" si="51"/>
        <v>3</v>
      </c>
      <c r="AY190" s="217">
        <f t="shared" si="52"/>
        <v>5</v>
      </c>
      <c r="AZ190" s="217">
        <f t="shared" si="53"/>
        <v>4</v>
      </c>
      <c r="BA190" s="217">
        <f t="shared" si="54"/>
        <v>5</v>
      </c>
      <c r="BB190" s="217">
        <f t="shared" si="55"/>
        <v>5</v>
      </c>
      <c r="BC190" s="217">
        <f t="shared" si="56"/>
        <v>62</v>
      </c>
      <c r="BD190" s="217"/>
      <c r="BE190" s="217">
        <f t="shared" si="57"/>
        <v>5</v>
      </c>
      <c r="BF190" s="217">
        <f t="shared" si="58"/>
        <v>5</v>
      </c>
      <c r="BG190" s="217">
        <f t="shared" si="59"/>
        <v>5</v>
      </c>
      <c r="BH190" s="217">
        <f t="shared" si="60"/>
        <v>5</v>
      </c>
      <c r="BI190" s="217">
        <f t="shared" si="61"/>
        <v>5</v>
      </c>
      <c r="BJ190" s="217">
        <f t="shared" si="62"/>
        <v>5</v>
      </c>
      <c r="BK190" s="217">
        <f t="shared" si="63"/>
        <v>75</v>
      </c>
    </row>
    <row r="191" spans="2:63" s="372" customFormat="1" ht="30" customHeight="1" x14ac:dyDescent="0.35">
      <c r="B191" s="373"/>
      <c r="C191" s="374"/>
      <c r="D191" s="375"/>
      <c r="E191" s="375"/>
      <c r="F191" s="383"/>
      <c r="G191" s="383"/>
      <c r="H191" s="383"/>
      <c r="I191" s="383"/>
      <c r="J191" s="375"/>
      <c r="K191" s="377"/>
      <c r="L191" s="375"/>
      <c r="M191" s="378"/>
      <c r="N191" s="379"/>
      <c r="O191" s="375"/>
      <c r="P191" s="375"/>
      <c r="Q191" s="375"/>
      <c r="R191" s="375"/>
      <c r="S191" s="380"/>
      <c r="T191" s="154"/>
      <c r="U191" s="154"/>
      <c r="V191" s="154"/>
      <c r="W191" s="154"/>
      <c r="X191" s="154"/>
      <c r="Y191" s="154"/>
      <c r="Z191" s="154"/>
      <c r="AA191" s="405">
        <f t="shared" si="47"/>
        <v>0</v>
      </c>
      <c r="AB191" s="405">
        <f t="shared" si="48"/>
        <v>0</v>
      </c>
      <c r="AC191" s="407">
        <f t="shared" si="49"/>
        <v>0</v>
      </c>
      <c r="AD191" s="343"/>
      <c r="AE191" s="343"/>
      <c r="AF191" s="343"/>
      <c r="AG191" s="343"/>
      <c r="AH191" s="381"/>
      <c r="AI191" s="381"/>
      <c r="AJ191" s="381"/>
      <c r="AK191" s="381"/>
      <c r="AW191" s="217">
        <f t="shared" si="50"/>
        <v>0</v>
      </c>
      <c r="AX191" s="217">
        <f t="shared" si="51"/>
        <v>0</v>
      </c>
      <c r="AY191" s="217">
        <f t="shared" si="52"/>
        <v>0</v>
      </c>
      <c r="AZ191" s="217">
        <f t="shared" si="53"/>
        <v>0</v>
      </c>
      <c r="BA191" s="217">
        <f t="shared" si="54"/>
        <v>0</v>
      </c>
      <c r="BB191" s="217">
        <f t="shared" si="55"/>
        <v>0</v>
      </c>
      <c r="BC191" s="217">
        <f t="shared" si="56"/>
        <v>0</v>
      </c>
      <c r="BD191" s="217"/>
      <c r="BE191" s="217">
        <f t="shared" si="57"/>
        <v>0</v>
      </c>
      <c r="BF191" s="217">
        <f t="shared" si="58"/>
        <v>0</v>
      </c>
      <c r="BG191" s="217">
        <f t="shared" si="59"/>
        <v>0</v>
      </c>
      <c r="BH191" s="217">
        <f t="shared" si="60"/>
        <v>0</v>
      </c>
      <c r="BI191" s="217">
        <f t="shared" si="61"/>
        <v>0</v>
      </c>
      <c r="BJ191" s="217">
        <f t="shared" si="62"/>
        <v>0</v>
      </c>
      <c r="BK191" s="217">
        <f t="shared" si="63"/>
        <v>0</v>
      </c>
    </row>
    <row r="192" spans="2:63" s="372" customFormat="1" ht="30" customHeight="1" x14ac:dyDescent="0.35">
      <c r="B192" s="373" t="s">
        <v>782</v>
      </c>
      <c r="C192" s="374" t="s">
        <v>790</v>
      </c>
      <c r="D192" s="375" t="s">
        <v>759</v>
      </c>
      <c r="E192" s="375" t="s">
        <v>783</v>
      </c>
      <c r="F192" s="383">
        <f>7+21/60+46/3600</f>
        <v>7.3627777777777776</v>
      </c>
      <c r="G192" s="383">
        <f>134+30/60+22/3600</f>
        <v>134.50611111111112</v>
      </c>
      <c r="H192" s="383">
        <f>7+20/60+40/3600</f>
        <v>7.3444444444444441</v>
      </c>
      <c r="I192" s="383">
        <f>134+28/60+56/3600</f>
        <v>134.48222222222222</v>
      </c>
      <c r="J192" s="375" t="s">
        <v>365</v>
      </c>
      <c r="K192" s="377" t="s">
        <v>421</v>
      </c>
      <c r="L192" s="375">
        <v>2018</v>
      </c>
      <c r="M192" s="378">
        <v>3980</v>
      </c>
      <c r="N192" s="379">
        <v>7.3</v>
      </c>
      <c r="O192" s="375">
        <v>2</v>
      </c>
      <c r="P192" s="375" t="s">
        <v>272</v>
      </c>
      <c r="Q192" s="375" t="s">
        <v>728</v>
      </c>
      <c r="R192" s="375" t="s">
        <v>579</v>
      </c>
      <c r="S192" s="380" t="s">
        <v>729</v>
      </c>
      <c r="T192" s="154">
        <v>4</v>
      </c>
      <c r="U192" s="154">
        <v>4</v>
      </c>
      <c r="V192" s="154">
        <v>5</v>
      </c>
      <c r="W192" s="154">
        <v>4</v>
      </c>
      <c r="X192" s="154">
        <v>5</v>
      </c>
      <c r="Y192" s="154">
        <v>5</v>
      </c>
      <c r="Z192" s="154">
        <f t="shared" si="64"/>
        <v>88</v>
      </c>
      <c r="AA192" s="405">
        <f t="shared" si="47"/>
        <v>1990000</v>
      </c>
      <c r="AB192" s="405">
        <f t="shared" si="48"/>
        <v>1194000</v>
      </c>
      <c r="AC192" s="407">
        <f t="shared" si="49"/>
        <v>17900</v>
      </c>
      <c r="AD192" s="343"/>
      <c r="AE192" s="343"/>
      <c r="AF192" s="343"/>
      <c r="AG192" s="343"/>
      <c r="AH192" s="381"/>
      <c r="AI192" s="381"/>
      <c r="AJ192" s="381"/>
      <c r="AK192" s="381"/>
      <c r="AW192" s="217">
        <f t="shared" si="50"/>
        <v>4</v>
      </c>
      <c r="AX192" s="217">
        <f t="shared" si="51"/>
        <v>4</v>
      </c>
      <c r="AY192" s="217">
        <f t="shared" si="52"/>
        <v>5</v>
      </c>
      <c r="AZ192" s="217">
        <f t="shared" si="53"/>
        <v>4</v>
      </c>
      <c r="BA192" s="217">
        <f t="shared" si="54"/>
        <v>5</v>
      </c>
      <c r="BB192" s="217">
        <f t="shared" si="55"/>
        <v>5</v>
      </c>
      <c r="BC192" s="217">
        <f t="shared" si="56"/>
        <v>66</v>
      </c>
      <c r="BD192" s="217"/>
      <c r="BE192" s="217">
        <f t="shared" si="57"/>
        <v>5</v>
      </c>
      <c r="BF192" s="217">
        <f t="shared" si="58"/>
        <v>5</v>
      </c>
      <c r="BG192" s="217">
        <f t="shared" si="59"/>
        <v>5</v>
      </c>
      <c r="BH192" s="217">
        <f t="shared" si="60"/>
        <v>5</v>
      </c>
      <c r="BI192" s="217">
        <f t="shared" si="61"/>
        <v>5</v>
      </c>
      <c r="BJ192" s="217">
        <f t="shared" si="62"/>
        <v>5</v>
      </c>
      <c r="BK192" s="217">
        <f t="shared" si="63"/>
        <v>75</v>
      </c>
    </row>
    <row r="193" spans="2:131" s="372" customFormat="1" ht="30" customHeight="1" x14ac:dyDescent="0.35">
      <c r="B193" s="373" t="s">
        <v>784</v>
      </c>
      <c r="C193" s="374" t="s">
        <v>785</v>
      </c>
      <c r="D193" s="375" t="s">
        <v>759</v>
      </c>
      <c r="E193" s="375" t="s">
        <v>783</v>
      </c>
      <c r="F193" s="383">
        <f>7+20/60+40/3600</f>
        <v>7.3444444444444441</v>
      </c>
      <c r="G193" s="383">
        <f>134+28/60+56/3600</f>
        <v>134.48222222222222</v>
      </c>
      <c r="H193" s="383">
        <f>7+20/60+40/3600</f>
        <v>7.3444444444444441</v>
      </c>
      <c r="I193" s="383">
        <f>134+28/60+56/3600</f>
        <v>134.48222222222222</v>
      </c>
      <c r="J193" s="375" t="s">
        <v>365</v>
      </c>
      <c r="K193" s="377" t="s">
        <v>421</v>
      </c>
      <c r="L193" s="375">
        <v>2020</v>
      </c>
      <c r="M193" s="378">
        <v>2745</v>
      </c>
      <c r="N193" s="379">
        <v>10</v>
      </c>
      <c r="O193" s="375">
        <v>3</v>
      </c>
      <c r="P193" s="375" t="s">
        <v>83</v>
      </c>
      <c r="Q193" s="375" t="s">
        <v>728</v>
      </c>
      <c r="R193" s="375" t="s">
        <v>579</v>
      </c>
      <c r="S193" s="380" t="s">
        <v>729</v>
      </c>
      <c r="T193" s="154">
        <v>5</v>
      </c>
      <c r="U193" s="154">
        <v>5</v>
      </c>
      <c r="V193" s="154">
        <v>5</v>
      </c>
      <c r="W193" s="154">
        <v>4</v>
      </c>
      <c r="X193" s="154">
        <v>5</v>
      </c>
      <c r="Y193" s="154">
        <v>5</v>
      </c>
      <c r="Z193" s="154">
        <f t="shared" si="64"/>
        <v>99</v>
      </c>
      <c r="AA193" s="405">
        <f t="shared" si="47"/>
        <v>1372500</v>
      </c>
      <c r="AB193" s="405">
        <f t="shared" si="48"/>
        <v>823500</v>
      </c>
      <c r="AC193" s="407">
        <f t="shared" si="49"/>
        <v>12400</v>
      </c>
      <c r="AD193" s="343"/>
      <c r="AE193" s="343"/>
      <c r="AF193" s="343"/>
      <c r="AG193" s="343"/>
      <c r="AH193" s="381"/>
      <c r="AI193" s="381"/>
      <c r="AJ193" s="381"/>
      <c r="AK193" s="381"/>
      <c r="AW193" s="217">
        <f t="shared" si="50"/>
        <v>5</v>
      </c>
      <c r="AX193" s="217">
        <f t="shared" si="51"/>
        <v>5</v>
      </c>
      <c r="AY193" s="217">
        <f t="shared" si="52"/>
        <v>5</v>
      </c>
      <c r="AZ193" s="217">
        <f t="shared" si="53"/>
        <v>4</v>
      </c>
      <c r="BA193" s="217">
        <f t="shared" si="54"/>
        <v>5</v>
      </c>
      <c r="BB193" s="217">
        <f t="shared" si="55"/>
        <v>5</v>
      </c>
      <c r="BC193" s="217">
        <f t="shared" si="56"/>
        <v>74</v>
      </c>
      <c r="BD193" s="217"/>
      <c r="BE193" s="217">
        <f t="shared" si="57"/>
        <v>5</v>
      </c>
      <c r="BF193" s="217">
        <f t="shared" si="58"/>
        <v>5</v>
      </c>
      <c r="BG193" s="217">
        <f t="shared" si="59"/>
        <v>5</v>
      </c>
      <c r="BH193" s="217">
        <f t="shared" si="60"/>
        <v>5</v>
      </c>
      <c r="BI193" s="217">
        <f t="shared" si="61"/>
        <v>5</v>
      </c>
      <c r="BJ193" s="217">
        <f t="shared" si="62"/>
        <v>5</v>
      </c>
      <c r="BK193" s="217">
        <f t="shared" si="63"/>
        <v>75</v>
      </c>
    </row>
    <row r="194" spans="2:131" s="372" customFormat="1" ht="30" customHeight="1" x14ac:dyDescent="0.35">
      <c r="B194" s="373" t="s">
        <v>786</v>
      </c>
      <c r="C194" s="374" t="s">
        <v>787</v>
      </c>
      <c r="D194" s="375" t="s">
        <v>788</v>
      </c>
      <c r="E194" s="375" t="s">
        <v>789</v>
      </c>
      <c r="F194" s="383">
        <f>7+20/60+35/3600</f>
        <v>7.343055555555555</v>
      </c>
      <c r="G194" s="383">
        <f>134+28/60+0/3600</f>
        <v>134.46666666666667</v>
      </c>
      <c r="H194" s="383">
        <f>7+21/60+12/3600</f>
        <v>7.3533333333333326</v>
      </c>
      <c r="I194" s="383">
        <f>134+26/60+42/3600</f>
        <v>134.44499999999999</v>
      </c>
      <c r="J194" s="375" t="s">
        <v>99</v>
      </c>
      <c r="K194" s="377" t="s">
        <v>421</v>
      </c>
      <c r="L194" s="375">
        <v>2020</v>
      </c>
      <c r="M194" s="378">
        <v>3950</v>
      </c>
      <c r="N194" s="379">
        <v>7.6</v>
      </c>
      <c r="O194" s="375">
        <v>3</v>
      </c>
      <c r="P194" s="375" t="s">
        <v>83</v>
      </c>
      <c r="Q194" s="375" t="s">
        <v>728</v>
      </c>
      <c r="R194" s="375" t="s">
        <v>579</v>
      </c>
      <c r="S194" s="380" t="s">
        <v>729</v>
      </c>
      <c r="T194" s="154">
        <v>5</v>
      </c>
      <c r="U194" s="154">
        <v>5</v>
      </c>
      <c r="V194" s="154">
        <v>5</v>
      </c>
      <c r="W194" s="154">
        <v>4</v>
      </c>
      <c r="X194" s="154">
        <v>5</v>
      </c>
      <c r="Y194" s="154">
        <v>5</v>
      </c>
      <c r="Z194" s="154">
        <f t="shared" si="64"/>
        <v>99</v>
      </c>
      <c r="AA194" s="405">
        <f t="shared" si="47"/>
        <v>1975000</v>
      </c>
      <c r="AB194" s="405">
        <f t="shared" si="48"/>
        <v>1185000</v>
      </c>
      <c r="AC194" s="407">
        <f t="shared" si="49"/>
        <v>17800</v>
      </c>
      <c r="AD194" s="343"/>
      <c r="AE194" s="343"/>
      <c r="AF194" s="343"/>
      <c r="AG194" s="343"/>
      <c r="AH194" s="381"/>
      <c r="AI194" s="381"/>
      <c r="AJ194" s="381"/>
      <c r="AK194" s="381"/>
      <c r="AW194" s="217">
        <f t="shared" si="50"/>
        <v>5</v>
      </c>
      <c r="AX194" s="217">
        <f t="shared" si="51"/>
        <v>5</v>
      </c>
      <c r="AY194" s="217">
        <f t="shared" si="52"/>
        <v>5</v>
      </c>
      <c r="AZ194" s="217">
        <f t="shared" si="53"/>
        <v>4</v>
      </c>
      <c r="BA194" s="217">
        <f t="shared" si="54"/>
        <v>5</v>
      </c>
      <c r="BB194" s="217">
        <f t="shared" si="55"/>
        <v>5</v>
      </c>
      <c r="BC194" s="217">
        <f t="shared" si="56"/>
        <v>74</v>
      </c>
      <c r="BD194" s="217"/>
      <c r="BE194" s="217">
        <f t="shared" si="57"/>
        <v>5</v>
      </c>
      <c r="BF194" s="217">
        <f t="shared" si="58"/>
        <v>5</v>
      </c>
      <c r="BG194" s="217">
        <f t="shared" si="59"/>
        <v>5</v>
      </c>
      <c r="BH194" s="217">
        <f t="shared" si="60"/>
        <v>5</v>
      </c>
      <c r="BI194" s="217">
        <f t="shared" si="61"/>
        <v>5</v>
      </c>
      <c r="BJ194" s="217">
        <f t="shared" si="62"/>
        <v>5</v>
      </c>
      <c r="BK194" s="217">
        <f t="shared" si="63"/>
        <v>75</v>
      </c>
    </row>
    <row r="195" spans="2:131" s="390" customFormat="1" ht="30" customHeight="1" x14ac:dyDescent="0.35">
      <c r="B195" s="373" t="s">
        <v>794</v>
      </c>
      <c r="C195" s="374" t="s">
        <v>1104</v>
      </c>
      <c r="D195" s="375" t="s">
        <v>796</v>
      </c>
      <c r="E195" s="375" t="s">
        <v>796</v>
      </c>
      <c r="F195" s="375">
        <f>7+21.15106/60</f>
        <v>7.3525176666666665</v>
      </c>
      <c r="G195" s="375">
        <f>134+29.95422/60</f>
        <v>134.49923699999999</v>
      </c>
      <c r="H195" s="375">
        <f>7+20.99376/60</f>
        <v>7.3498960000000002</v>
      </c>
      <c r="I195" s="375">
        <f>134+30.41748/60</f>
        <v>134.506958</v>
      </c>
      <c r="J195" s="375" t="s">
        <v>277</v>
      </c>
      <c r="K195" s="384" t="s">
        <v>545</v>
      </c>
      <c r="L195" s="375" t="s">
        <v>371</v>
      </c>
      <c r="M195" s="378">
        <v>1210</v>
      </c>
      <c r="N195" s="375">
        <v>4.5</v>
      </c>
      <c r="O195" s="375">
        <v>2</v>
      </c>
      <c r="P195" s="375" t="s">
        <v>272</v>
      </c>
      <c r="Q195" s="375" t="s">
        <v>275</v>
      </c>
      <c r="R195" s="375" t="s">
        <v>92</v>
      </c>
      <c r="S195" s="380" t="s">
        <v>92</v>
      </c>
      <c r="T195" s="154">
        <v>1</v>
      </c>
      <c r="U195" s="154">
        <v>2</v>
      </c>
      <c r="V195" s="154" t="s">
        <v>311</v>
      </c>
      <c r="W195" s="154">
        <v>3</v>
      </c>
      <c r="X195" s="154" t="s">
        <v>311</v>
      </c>
      <c r="Y195" s="154">
        <v>3</v>
      </c>
      <c r="Z195" s="154">
        <f t="shared" si="64"/>
        <v>42</v>
      </c>
      <c r="AA195" s="405">
        <f t="shared" si="47"/>
        <v>605000</v>
      </c>
      <c r="AB195" s="405">
        <f t="shared" si="48"/>
        <v>363000</v>
      </c>
      <c r="AC195" s="407">
        <f t="shared" si="49"/>
        <v>5400</v>
      </c>
      <c r="AD195" s="343"/>
      <c r="AE195" s="343"/>
      <c r="AF195" s="343"/>
      <c r="AG195" s="343"/>
      <c r="AH195" s="381">
        <f t="shared" si="67"/>
        <v>242000</v>
      </c>
      <c r="AI195" s="381">
        <f t="shared" si="66"/>
        <v>363000</v>
      </c>
      <c r="AJ195" s="381"/>
      <c r="AK195" s="381"/>
      <c r="AL195" s="389"/>
      <c r="AM195" s="389"/>
      <c r="AN195" s="389"/>
      <c r="AO195" s="389"/>
      <c r="AP195" s="389"/>
      <c r="AQ195" s="389"/>
      <c r="AR195" s="389"/>
      <c r="AS195" s="389"/>
      <c r="AT195" s="389"/>
      <c r="AU195" s="389"/>
      <c r="AV195" s="389"/>
      <c r="AW195" s="217">
        <f t="shared" si="50"/>
        <v>1</v>
      </c>
      <c r="AX195" s="217">
        <f t="shared" si="51"/>
        <v>2</v>
      </c>
      <c r="AY195" s="217">
        <f t="shared" si="52"/>
        <v>0</v>
      </c>
      <c r="AZ195" s="217">
        <f t="shared" si="53"/>
        <v>3</v>
      </c>
      <c r="BA195" s="217">
        <f t="shared" si="54"/>
        <v>0</v>
      </c>
      <c r="BB195" s="217">
        <f t="shared" si="55"/>
        <v>3</v>
      </c>
      <c r="BC195" s="217">
        <f t="shared" si="56"/>
        <v>27</v>
      </c>
      <c r="BD195" s="217"/>
      <c r="BE195" s="217">
        <f t="shared" si="57"/>
        <v>5</v>
      </c>
      <c r="BF195" s="217">
        <f t="shared" si="58"/>
        <v>5</v>
      </c>
      <c r="BG195" s="217">
        <f t="shared" si="59"/>
        <v>0</v>
      </c>
      <c r="BH195" s="217">
        <f t="shared" si="60"/>
        <v>5</v>
      </c>
      <c r="BI195" s="217">
        <f t="shared" si="61"/>
        <v>0</v>
      </c>
      <c r="BJ195" s="217">
        <f t="shared" si="62"/>
        <v>5</v>
      </c>
      <c r="BK195" s="217">
        <f t="shared" si="63"/>
        <v>65</v>
      </c>
      <c r="BL195" s="389"/>
      <c r="BM195" s="389"/>
      <c r="BN195" s="389"/>
      <c r="BO195" s="389"/>
      <c r="BP195" s="389"/>
      <c r="BQ195" s="389"/>
      <c r="BR195" s="389"/>
      <c r="BS195" s="389"/>
      <c r="BT195" s="389"/>
      <c r="BU195" s="389"/>
      <c r="BV195" s="389"/>
      <c r="BW195" s="389"/>
      <c r="BX195" s="389"/>
      <c r="BY195" s="389"/>
      <c r="BZ195" s="389"/>
      <c r="CA195" s="389"/>
      <c r="CB195" s="389"/>
      <c r="CC195" s="389"/>
      <c r="CD195" s="389"/>
      <c r="CE195" s="389"/>
      <c r="CF195" s="389"/>
      <c r="CG195" s="389"/>
      <c r="CH195" s="389"/>
      <c r="CI195" s="389"/>
      <c r="CJ195" s="389"/>
      <c r="CK195" s="389"/>
      <c r="CL195" s="389"/>
      <c r="CM195" s="389"/>
      <c r="CN195" s="389"/>
      <c r="CO195" s="389"/>
      <c r="CP195" s="389"/>
      <c r="CQ195" s="389"/>
      <c r="CR195" s="389"/>
      <c r="CS195" s="389"/>
      <c r="CT195" s="389"/>
      <c r="CU195" s="389"/>
      <c r="CV195" s="389"/>
      <c r="CW195" s="389"/>
      <c r="CX195" s="389"/>
      <c r="CY195" s="389"/>
      <c r="CZ195" s="389"/>
      <c r="DA195" s="389"/>
      <c r="DB195" s="389"/>
      <c r="DC195" s="389"/>
      <c r="DD195" s="389"/>
      <c r="DE195" s="389"/>
      <c r="DF195" s="389"/>
      <c r="DG195" s="389"/>
      <c r="DH195" s="389"/>
      <c r="DI195" s="389"/>
      <c r="DJ195" s="389"/>
      <c r="DK195" s="389"/>
      <c r="DL195" s="389"/>
      <c r="DM195" s="389"/>
      <c r="DN195" s="389"/>
      <c r="DO195" s="389"/>
      <c r="DP195" s="389"/>
      <c r="DQ195" s="389"/>
      <c r="DR195" s="389"/>
      <c r="DS195" s="389"/>
      <c r="DT195" s="389"/>
      <c r="DU195" s="389"/>
      <c r="DV195" s="389"/>
      <c r="DW195" s="389"/>
      <c r="DX195" s="389"/>
      <c r="DY195" s="389"/>
      <c r="DZ195" s="389"/>
      <c r="EA195" s="389"/>
    </row>
    <row r="196" spans="2:131" s="372" customFormat="1" ht="30" customHeight="1" x14ac:dyDescent="0.35">
      <c r="B196" s="373" t="s">
        <v>797</v>
      </c>
      <c r="C196" s="374" t="s">
        <v>795</v>
      </c>
      <c r="D196" s="375" t="s">
        <v>796</v>
      </c>
      <c r="E196" s="375" t="s">
        <v>796</v>
      </c>
      <c r="F196" s="383">
        <f>7+20/60+39/3600</f>
        <v>7.3441666666666663</v>
      </c>
      <c r="G196" s="383">
        <f>134+29/60+40/3600</f>
        <v>134.49444444444444</v>
      </c>
      <c r="H196" s="383">
        <f>7+20/60+27/3600</f>
        <v>7.3408333333333333</v>
      </c>
      <c r="I196" s="383">
        <f>134+29/60+51/3600</f>
        <v>134.49749999999997</v>
      </c>
      <c r="J196" s="375" t="s">
        <v>277</v>
      </c>
      <c r="K196" s="377" t="s">
        <v>421</v>
      </c>
      <c r="L196" s="375">
        <v>2011</v>
      </c>
      <c r="M196" s="378">
        <v>660</v>
      </c>
      <c r="N196" s="379">
        <v>7.3</v>
      </c>
      <c r="O196" s="375">
        <v>2</v>
      </c>
      <c r="P196" s="375" t="s">
        <v>83</v>
      </c>
      <c r="Q196" s="375" t="s">
        <v>275</v>
      </c>
      <c r="R196" s="375" t="s">
        <v>521</v>
      </c>
      <c r="S196" s="380" t="s">
        <v>732</v>
      </c>
      <c r="T196" s="154">
        <v>2</v>
      </c>
      <c r="U196" s="154">
        <v>4</v>
      </c>
      <c r="V196" s="154">
        <v>3</v>
      </c>
      <c r="W196" s="154">
        <v>4</v>
      </c>
      <c r="X196" s="154">
        <v>4</v>
      </c>
      <c r="Y196" s="154">
        <v>4</v>
      </c>
      <c r="Z196" s="154">
        <f t="shared" si="64"/>
        <v>68</v>
      </c>
      <c r="AA196" s="405">
        <f t="shared" si="47"/>
        <v>330000</v>
      </c>
      <c r="AB196" s="405">
        <f t="shared" si="48"/>
        <v>198000</v>
      </c>
      <c r="AC196" s="407">
        <f t="shared" si="49"/>
        <v>3000</v>
      </c>
      <c r="AD196" s="343"/>
      <c r="AE196" s="343"/>
      <c r="AF196" s="343"/>
      <c r="AG196" s="343"/>
      <c r="AH196" s="381">
        <f t="shared" si="67"/>
        <v>132000</v>
      </c>
      <c r="AI196" s="381"/>
      <c r="AJ196" s="381"/>
      <c r="AK196" s="381"/>
      <c r="AW196" s="217">
        <f t="shared" si="50"/>
        <v>2</v>
      </c>
      <c r="AX196" s="217">
        <f t="shared" si="51"/>
        <v>4</v>
      </c>
      <c r="AY196" s="217">
        <f t="shared" si="52"/>
        <v>3</v>
      </c>
      <c r="AZ196" s="217">
        <f t="shared" si="53"/>
        <v>4</v>
      </c>
      <c r="BA196" s="217">
        <f t="shared" si="54"/>
        <v>4</v>
      </c>
      <c r="BB196" s="217">
        <f t="shared" si="55"/>
        <v>4</v>
      </c>
      <c r="BC196" s="217">
        <f t="shared" si="56"/>
        <v>51</v>
      </c>
      <c r="BD196" s="217"/>
      <c r="BE196" s="217">
        <f t="shared" si="57"/>
        <v>5</v>
      </c>
      <c r="BF196" s="217">
        <f t="shared" si="58"/>
        <v>5</v>
      </c>
      <c r="BG196" s="217">
        <f t="shared" si="59"/>
        <v>5</v>
      </c>
      <c r="BH196" s="217">
        <f t="shared" si="60"/>
        <v>5</v>
      </c>
      <c r="BI196" s="217">
        <f t="shared" si="61"/>
        <v>5</v>
      </c>
      <c r="BJ196" s="217">
        <f t="shared" si="62"/>
        <v>5</v>
      </c>
      <c r="BK196" s="217">
        <f t="shared" si="63"/>
        <v>75</v>
      </c>
    </row>
    <row r="197" spans="2:131" s="372" customFormat="1" ht="30" customHeight="1" x14ac:dyDescent="0.35">
      <c r="B197" s="373" t="s">
        <v>799</v>
      </c>
      <c r="C197" s="374" t="s">
        <v>798</v>
      </c>
      <c r="D197" s="375" t="s">
        <v>796</v>
      </c>
      <c r="E197" s="375" t="s">
        <v>796</v>
      </c>
      <c r="F197" s="383">
        <f>7+20/60+27/3600</f>
        <v>7.3408333333333333</v>
      </c>
      <c r="G197" s="383">
        <f>134+29/60+51/3600</f>
        <v>134.49749999999997</v>
      </c>
      <c r="H197" s="383">
        <f>7+20/60+23/3600</f>
        <v>7.339722222222222</v>
      </c>
      <c r="I197" s="383">
        <f>134+30/60+5/3600</f>
        <v>134.5013888888889</v>
      </c>
      <c r="J197" s="375" t="s">
        <v>277</v>
      </c>
      <c r="K197" s="377" t="s">
        <v>421</v>
      </c>
      <c r="L197" s="375">
        <v>2012</v>
      </c>
      <c r="M197" s="378">
        <v>560</v>
      </c>
      <c r="N197" s="379">
        <v>5.8</v>
      </c>
      <c r="O197" s="375">
        <v>2</v>
      </c>
      <c r="P197" s="375" t="s">
        <v>83</v>
      </c>
      <c r="Q197" s="375" t="s">
        <v>275</v>
      </c>
      <c r="R197" s="375" t="s">
        <v>521</v>
      </c>
      <c r="S197" s="380" t="s">
        <v>732</v>
      </c>
      <c r="T197" s="154">
        <v>5</v>
      </c>
      <c r="U197" s="154">
        <v>5</v>
      </c>
      <c r="V197" s="154">
        <v>4</v>
      </c>
      <c r="W197" s="154">
        <v>4</v>
      </c>
      <c r="X197" s="154">
        <v>4</v>
      </c>
      <c r="Y197" s="154">
        <v>5</v>
      </c>
      <c r="Z197" s="154">
        <f t="shared" si="64"/>
        <v>96</v>
      </c>
      <c r="AA197" s="405">
        <f t="shared" si="47"/>
        <v>280000</v>
      </c>
      <c r="AB197" s="405">
        <f t="shared" si="48"/>
        <v>168000</v>
      </c>
      <c r="AC197" s="407">
        <f t="shared" si="49"/>
        <v>2500</v>
      </c>
      <c r="AD197" s="343"/>
      <c r="AE197" s="343"/>
      <c r="AF197" s="343"/>
      <c r="AG197" s="343"/>
      <c r="AH197" s="381"/>
      <c r="AI197" s="381"/>
      <c r="AJ197" s="381"/>
      <c r="AK197" s="381"/>
      <c r="AW197" s="217">
        <f t="shared" si="50"/>
        <v>5</v>
      </c>
      <c r="AX197" s="217">
        <f t="shared" si="51"/>
        <v>5</v>
      </c>
      <c r="AY197" s="217">
        <f t="shared" si="52"/>
        <v>4</v>
      </c>
      <c r="AZ197" s="217">
        <f t="shared" si="53"/>
        <v>4</v>
      </c>
      <c r="BA197" s="217">
        <f t="shared" si="54"/>
        <v>4</v>
      </c>
      <c r="BB197" s="217">
        <f t="shared" si="55"/>
        <v>5</v>
      </c>
      <c r="BC197" s="217">
        <f t="shared" si="56"/>
        <v>72</v>
      </c>
      <c r="BD197" s="217"/>
      <c r="BE197" s="217">
        <f t="shared" si="57"/>
        <v>5</v>
      </c>
      <c r="BF197" s="217">
        <f t="shared" si="58"/>
        <v>5</v>
      </c>
      <c r="BG197" s="217">
        <f t="shared" si="59"/>
        <v>5</v>
      </c>
      <c r="BH197" s="217">
        <f t="shared" si="60"/>
        <v>5</v>
      </c>
      <c r="BI197" s="217">
        <f t="shared" si="61"/>
        <v>5</v>
      </c>
      <c r="BJ197" s="217">
        <f t="shared" si="62"/>
        <v>5</v>
      </c>
      <c r="BK197" s="217">
        <f t="shared" si="63"/>
        <v>75</v>
      </c>
    </row>
    <row r="198" spans="2:131" s="390" customFormat="1" ht="30" customHeight="1" x14ac:dyDescent="0.35">
      <c r="B198" s="373" t="s">
        <v>802</v>
      </c>
      <c r="C198" s="374" t="s">
        <v>1101</v>
      </c>
      <c r="D198" s="375" t="s">
        <v>796</v>
      </c>
      <c r="E198" s="375" t="s">
        <v>796</v>
      </c>
      <c r="F198" s="375">
        <f>7+20.11651/60</f>
        <v>7.3352751666666665</v>
      </c>
      <c r="G198" s="375">
        <f>134+30.11169/60</f>
        <v>134.50186149999999</v>
      </c>
      <c r="H198" s="375">
        <f>7+20.38456/60</f>
        <v>7.339742666666667</v>
      </c>
      <c r="I198" s="375">
        <f>134+30.09338/60</f>
        <v>134.50155633333333</v>
      </c>
      <c r="J198" s="375" t="s">
        <v>97</v>
      </c>
      <c r="K198" s="377" t="s">
        <v>421</v>
      </c>
      <c r="L198" s="375">
        <v>2015</v>
      </c>
      <c r="M198" s="378">
        <v>582</v>
      </c>
      <c r="N198" s="375">
        <v>5.5</v>
      </c>
      <c r="O198" s="375">
        <v>2</v>
      </c>
      <c r="P198" s="375" t="s">
        <v>272</v>
      </c>
      <c r="Q198" s="375" t="s">
        <v>275</v>
      </c>
      <c r="R198" s="375" t="s">
        <v>1112</v>
      </c>
      <c r="S198" s="380" t="s">
        <v>92</v>
      </c>
      <c r="T198" s="154">
        <v>4</v>
      </c>
      <c r="U198" s="154">
        <v>3</v>
      </c>
      <c r="V198" s="154">
        <v>4</v>
      </c>
      <c r="W198" s="154">
        <v>3</v>
      </c>
      <c r="X198" s="154" t="s">
        <v>311</v>
      </c>
      <c r="Y198" s="154">
        <v>5</v>
      </c>
      <c r="Z198" s="154">
        <f t="shared" si="64"/>
        <v>79</v>
      </c>
      <c r="AA198" s="405">
        <f t="shared" si="47"/>
        <v>291000</v>
      </c>
      <c r="AB198" s="405">
        <f t="shared" si="48"/>
        <v>174600</v>
      </c>
      <c r="AC198" s="407">
        <f t="shared" si="49"/>
        <v>2600</v>
      </c>
      <c r="AD198" s="343"/>
      <c r="AE198" s="343"/>
      <c r="AF198" s="343"/>
      <c r="AG198" s="343"/>
      <c r="AH198" s="381"/>
      <c r="AI198" s="381"/>
      <c r="AJ198" s="381"/>
      <c r="AK198" s="381"/>
      <c r="AL198" s="389"/>
      <c r="AM198" s="389"/>
      <c r="AN198" s="389"/>
      <c r="AO198" s="389"/>
      <c r="AP198" s="389"/>
      <c r="AQ198" s="389"/>
      <c r="AR198" s="389"/>
      <c r="AS198" s="389"/>
      <c r="AT198" s="389"/>
      <c r="AU198" s="389"/>
      <c r="AV198" s="389"/>
      <c r="AW198" s="217">
        <f t="shared" si="50"/>
        <v>4</v>
      </c>
      <c r="AX198" s="217">
        <f t="shared" si="51"/>
        <v>3</v>
      </c>
      <c r="AY198" s="217">
        <f t="shared" si="52"/>
        <v>4</v>
      </c>
      <c r="AZ198" s="217">
        <f t="shared" si="53"/>
        <v>3</v>
      </c>
      <c r="BA198" s="217">
        <f t="shared" si="54"/>
        <v>0</v>
      </c>
      <c r="BB198" s="217">
        <f t="shared" si="55"/>
        <v>5</v>
      </c>
      <c r="BC198" s="217">
        <f t="shared" si="56"/>
        <v>55</v>
      </c>
      <c r="BD198" s="217"/>
      <c r="BE198" s="217">
        <f t="shared" si="57"/>
        <v>5</v>
      </c>
      <c r="BF198" s="217">
        <f t="shared" si="58"/>
        <v>5</v>
      </c>
      <c r="BG198" s="217">
        <f t="shared" si="59"/>
        <v>5</v>
      </c>
      <c r="BH198" s="217">
        <f t="shared" si="60"/>
        <v>5</v>
      </c>
      <c r="BI198" s="217">
        <f t="shared" si="61"/>
        <v>0</v>
      </c>
      <c r="BJ198" s="217">
        <f t="shared" si="62"/>
        <v>5</v>
      </c>
      <c r="BK198" s="217">
        <f t="shared" si="63"/>
        <v>70</v>
      </c>
      <c r="BL198" s="389"/>
      <c r="BM198" s="389"/>
      <c r="BN198" s="389"/>
      <c r="BO198" s="389"/>
      <c r="BP198" s="389"/>
      <c r="BQ198" s="389"/>
      <c r="BR198" s="389"/>
      <c r="BS198" s="389"/>
      <c r="BT198" s="389"/>
      <c r="BU198" s="389"/>
      <c r="BV198" s="389"/>
      <c r="BW198" s="389"/>
      <c r="BX198" s="389"/>
      <c r="BY198" s="389"/>
      <c r="BZ198" s="389"/>
      <c r="CA198" s="389"/>
      <c r="CB198" s="389"/>
      <c r="CC198" s="389"/>
      <c r="CD198" s="389"/>
      <c r="CE198" s="389"/>
      <c r="CF198" s="389"/>
      <c r="CG198" s="389"/>
      <c r="CH198" s="389"/>
      <c r="CI198" s="389"/>
      <c r="CJ198" s="389"/>
      <c r="CK198" s="389"/>
      <c r="CL198" s="389"/>
      <c r="CM198" s="389"/>
      <c r="CN198" s="389"/>
      <c r="CO198" s="389"/>
      <c r="CP198" s="389"/>
      <c r="CQ198" s="389"/>
      <c r="CR198" s="389"/>
      <c r="CS198" s="389"/>
      <c r="CT198" s="389"/>
      <c r="CU198" s="389"/>
      <c r="CV198" s="389"/>
      <c r="CW198" s="389"/>
      <c r="CX198" s="389"/>
      <c r="CY198" s="389"/>
      <c r="CZ198" s="389"/>
      <c r="DA198" s="389"/>
      <c r="DB198" s="389"/>
      <c r="DC198" s="389"/>
      <c r="DD198" s="389"/>
      <c r="DE198" s="389"/>
      <c r="DF198" s="389"/>
      <c r="DG198" s="389"/>
      <c r="DH198" s="389"/>
      <c r="DI198" s="389"/>
      <c r="DJ198" s="389"/>
      <c r="DK198" s="389"/>
      <c r="DL198" s="389"/>
      <c r="DM198" s="389"/>
      <c r="DN198" s="389"/>
      <c r="DO198" s="389"/>
      <c r="DP198" s="389"/>
      <c r="DQ198" s="389"/>
      <c r="DR198" s="389"/>
      <c r="DS198" s="389"/>
      <c r="DT198" s="389"/>
      <c r="DU198" s="389"/>
      <c r="DV198" s="389"/>
      <c r="DW198" s="389"/>
      <c r="DX198" s="389"/>
      <c r="DY198" s="389"/>
      <c r="DZ198" s="389"/>
      <c r="EA198" s="389"/>
    </row>
    <row r="199" spans="2:131" s="390" customFormat="1" ht="30" customHeight="1" x14ac:dyDescent="0.35">
      <c r="B199" s="373" t="s">
        <v>804</v>
      </c>
      <c r="C199" s="374" t="s">
        <v>961</v>
      </c>
      <c r="D199" s="375" t="s">
        <v>796</v>
      </c>
      <c r="E199" s="375" t="s">
        <v>796</v>
      </c>
      <c r="F199" s="375">
        <f>7+20.38456/60</f>
        <v>7.339742666666667</v>
      </c>
      <c r="G199" s="375">
        <f>134+30.09338/60</f>
        <v>134.50155633333333</v>
      </c>
      <c r="H199" s="375">
        <f>7+20.42567/60</f>
        <v>7.340427833333333</v>
      </c>
      <c r="I199" s="375">
        <f>134+30.21515/60</f>
        <v>134.50358583333335</v>
      </c>
      <c r="J199" s="375" t="s">
        <v>97</v>
      </c>
      <c r="K199" s="377">
        <v>2014</v>
      </c>
      <c r="L199" s="375" t="s">
        <v>311</v>
      </c>
      <c r="M199" s="378">
        <v>433</v>
      </c>
      <c r="N199" s="375">
        <v>3.6</v>
      </c>
      <c r="O199" s="375">
        <v>2</v>
      </c>
      <c r="P199" s="375" t="s">
        <v>272</v>
      </c>
      <c r="Q199" s="375" t="s">
        <v>275</v>
      </c>
      <c r="R199" s="375" t="s">
        <v>1113</v>
      </c>
      <c r="S199" s="380" t="s">
        <v>92</v>
      </c>
      <c r="T199" s="154">
        <v>4</v>
      </c>
      <c r="U199" s="154">
        <v>4</v>
      </c>
      <c r="V199" s="154">
        <v>3</v>
      </c>
      <c r="W199" s="154">
        <v>3</v>
      </c>
      <c r="X199" s="154" t="s">
        <v>311</v>
      </c>
      <c r="Y199" s="154">
        <v>4</v>
      </c>
      <c r="Z199" s="154">
        <f t="shared" si="64"/>
        <v>78</v>
      </c>
      <c r="AA199" s="405">
        <f t="shared" ref="AA199:AA262" si="68">T$2*M199+U$2*M199+V$2*AF199+X$2*AF199</f>
        <v>216500</v>
      </c>
      <c r="AB199" s="405">
        <f t="shared" ref="AB199:AB262" si="69">U$2*M199+V$2*AE199+X$2*AF199</f>
        <v>129900</v>
      </c>
      <c r="AC199" s="407">
        <f t="shared" ref="AC199:AC262" si="70">ROUND(AC$4*AB199,-2)</f>
        <v>1900</v>
      </c>
      <c r="AD199" s="343"/>
      <c r="AE199" s="343"/>
      <c r="AF199" s="343"/>
      <c r="AG199" s="343"/>
      <c r="AH199" s="381"/>
      <c r="AI199" s="381"/>
      <c r="AJ199" s="381"/>
      <c r="AK199" s="381"/>
      <c r="AL199" s="389"/>
      <c r="AM199" s="389"/>
      <c r="AN199" s="389"/>
      <c r="AO199" s="389"/>
      <c r="AP199" s="389"/>
      <c r="AQ199" s="389"/>
      <c r="AR199" s="389"/>
      <c r="AS199" s="389"/>
      <c r="AT199" s="389"/>
      <c r="AU199" s="389"/>
      <c r="AV199" s="389"/>
      <c r="AW199" s="217">
        <f t="shared" ref="AW199:AW262" si="71">IF(OR(T199=1,T199=2,T199=3,T199=4,T199=5),T199,0)</f>
        <v>4</v>
      </c>
      <c r="AX199" s="217">
        <f t="shared" ref="AX199:AX262" si="72">IF(OR(U199=1,U199=2,U199=3,U199=4,U199=5),U199,0)</f>
        <v>4</v>
      </c>
      <c r="AY199" s="217">
        <f t="shared" ref="AY199:AY262" si="73">IF(OR(V199=1,V199=2,V199=3,V199=4,V199=5),V199,0)</f>
        <v>3</v>
      </c>
      <c r="AZ199" s="217">
        <f t="shared" ref="AZ199:AZ262" si="74">IF(OR(W199=1,W199=2,W199=3,W199=4,W199=5),W199,0)</f>
        <v>3</v>
      </c>
      <c r="BA199" s="217">
        <f t="shared" ref="BA199:BA262" si="75">IF(OR(X199=1,X199=2,X199=3,X199=4,X199=5),X199,0)</f>
        <v>0</v>
      </c>
      <c r="BB199" s="217">
        <f t="shared" ref="BB199:BB262" si="76">IF(OR(Y199=1,Y199=2,Y199=3,Y199=4,Y199=5),Y199,0)</f>
        <v>4</v>
      </c>
      <c r="BC199" s="217">
        <f t="shared" ref="BC199:BC262" si="77">AW$2*AW199+AX$2*AX199+AY$2*AY199+AZ$2*AZ199+BA$2*BA199+BB$2*BB199</f>
        <v>54</v>
      </c>
      <c r="BD199" s="217"/>
      <c r="BE199" s="217">
        <f t="shared" ref="BE199:BE262" si="78">IF(OR(T199=1,T199=2,T199=3,T199=4,T199=5),5,0)</f>
        <v>5</v>
      </c>
      <c r="BF199" s="217">
        <f t="shared" ref="BF199:BF262" si="79">IF(OR(U199=1,U199=2,U199=3,U199=4,U199=5),5,0)</f>
        <v>5</v>
      </c>
      <c r="BG199" s="217">
        <f t="shared" ref="BG199:BG262" si="80">IF(OR(V199=1,V199=2,V199=3,V199=4,V199=5),5,0)</f>
        <v>5</v>
      </c>
      <c r="BH199" s="217">
        <f t="shared" ref="BH199:BH262" si="81">IF(OR(W199=1,W199=2,W199=3,W199=4,W199=5),5,0)</f>
        <v>5</v>
      </c>
      <c r="BI199" s="217">
        <f t="shared" ref="BI199:BI262" si="82">IF(OR(X199=1,X199=2,X199=3,X199=4,X199=5),5,0)</f>
        <v>0</v>
      </c>
      <c r="BJ199" s="217">
        <f t="shared" ref="BJ199:BJ262" si="83">IF(OR(Y199=1,Y199=2,Y199=3,Y199=4,Y199=5),5,0)</f>
        <v>5</v>
      </c>
      <c r="BK199" s="217">
        <f t="shared" ref="BK199:BK262" si="84">BE$2*BE199+BF$2*BF199+BG$2*BG199+BH$2*BH199+BI$2*BI199+BJ$2*BJ199</f>
        <v>70</v>
      </c>
      <c r="BL199" s="389"/>
      <c r="BM199" s="389"/>
      <c r="BN199" s="389"/>
      <c r="BO199" s="389"/>
      <c r="BP199" s="389"/>
      <c r="BQ199" s="389"/>
      <c r="BR199" s="389"/>
      <c r="BS199" s="389"/>
      <c r="BT199" s="389"/>
      <c r="BU199" s="389"/>
      <c r="BV199" s="389"/>
      <c r="BW199" s="389"/>
      <c r="BX199" s="389"/>
      <c r="BY199" s="389"/>
      <c r="BZ199" s="389"/>
      <c r="CA199" s="389"/>
      <c r="CB199" s="389"/>
      <c r="CC199" s="389"/>
      <c r="CD199" s="389"/>
      <c r="CE199" s="389"/>
      <c r="CF199" s="389"/>
      <c r="CG199" s="389"/>
      <c r="CH199" s="389"/>
      <c r="CI199" s="389"/>
      <c r="CJ199" s="389"/>
      <c r="CK199" s="389"/>
      <c r="CL199" s="389"/>
      <c r="CM199" s="389"/>
      <c r="CN199" s="389"/>
      <c r="CO199" s="389"/>
      <c r="CP199" s="389"/>
      <c r="CQ199" s="389"/>
      <c r="CR199" s="389"/>
      <c r="CS199" s="389"/>
      <c r="CT199" s="389"/>
      <c r="CU199" s="389"/>
      <c r="CV199" s="389"/>
      <c r="CW199" s="389"/>
      <c r="CX199" s="389"/>
      <c r="CY199" s="389"/>
      <c r="CZ199" s="389"/>
      <c r="DA199" s="389"/>
      <c r="DB199" s="389"/>
      <c r="DC199" s="389"/>
      <c r="DD199" s="389"/>
      <c r="DE199" s="389"/>
      <c r="DF199" s="389"/>
      <c r="DG199" s="389"/>
      <c r="DH199" s="389"/>
      <c r="DI199" s="389"/>
      <c r="DJ199" s="389"/>
      <c r="DK199" s="389"/>
      <c r="DL199" s="389"/>
      <c r="DM199" s="389"/>
      <c r="DN199" s="389"/>
      <c r="DO199" s="389"/>
      <c r="DP199" s="389"/>
      <c r="DQ199" s="389"/>
      <c r="DR199" s="389"/>
      <c r="DS199" s="389"/>
      <c r="DT199" s="389"/>
      <c r="DU199" s="389"/>
      <c r="DV199" s="389"/>
      <c r="DW199" s="389"/>
      <c r="DX199" s="389"/>
      <c r="DY199" s="389"/>
      <c r="DZ199" s="389"/>
      <c r="EA199" s="389"/>
    </row>
    <row r="200" spans="2:131" s="390" customFormat="1" ht="30" customHeight="1" x14ac:dyDescent="0.35">
      <c r="B200" s="373" t="s">
        <v>806</v>
      </c>
      <c r="C200" s="374" t="s">
        <v>1102</v>
      </c>
      <c r="D200" s="375" t="s">
        <v>796</v>
      </c>
      <c r="E200" s="375" t="s">
        <v>796</v>
      </c>
      <c r="F200" s="375">
        <f>7+20.45031/60</f>
        <v>7.3408385000000003</v>
      </c>
      <c r="G200" s="375">
        <f>134+29.84802/60</f>
        <v>134.497467</v>
      </c>
      <c r="H200" s="375">
        <f>7+20.332911/60</f>
        <v>7.3388818499999999</v>
      </c>
      <c r="I200" s="375">
        <f>134+29.80774/60</f>
        <v>134.49679566666666</v>
      </c>
      <c r="J200" s="375" t="s">
        <v>97</v>
      </c>
      <c r="K200" s="375">
        <v>2018</v>
      </c>
      <c r="L200" s="375" t="s">
        <v>311</v>
      </c>
      <c r="M200" s="378">
        <v>441</v>
      </c>
      <c r="N200" s="375">
        <v>4.9000000000000004</v>
      </c>
      <c r="O200" s="375">
        <v>2</v>
      </c>
      <c r="P200" s="375" t="s">
        <v>272</v>
      </c>
      <c r="Q200" s="375" t="s">
        <v>275</v>
      </c>
      <c r="R200" s="375" t="s">
        <v>1113</v>
      </c>
      <c r="S200" s="380" t="s">
        <v>92</v>
      </c>
      <c r="T200" s="154">
        <v>5</v>
      </c>
      <c r="U200" s="154">
        <v>4</v>
      </c>
      <c r="V200" s="154">
        <v>3</v>
      </c>
      <c r="W200" s="154">
        <v>3</v>
      </c>
      <c r="X200" s="154" t="s">
        <v>311</v>
      </c>
      <c r="Y200" s="154">
        <v>5</v>
      </c>
      <c r="Z200" s="154">
        <f t="shared" ref="Z200:Z263" si="85">ROUNDUP(BC200/BK200*100,0)</f>
        <v>89</v>
      </c>
      <c r="AA200" s="405">
        <f t="shared" si="68"/>
        <v>220500</v>
      </c>
      <c r="AB200" s="405">
        <f t="shared" si="69"/>
        <v>132300</v>
      </c>
      <c r="AC200" s="407">
        <f t="shared" si="70"/>
        <v>2000</v>
      </c>
      <c r="AD200" s="343"/>
      <c r="AE200" s="343"/>
      <c r="AF200" s="343"/>
      <c r="AG200" s="343"/>
      <c r="AH200" s="381"/>
      <c r="AI200" s="381"/>
      <c r="AJ200" s="381"/>
      <c r="AK200" s="381"/>
      <c r="AL200" s="389"/>
      <c r="AM200" s="389"/>
      <c r="AN200" s="389"/>
      <c r="AO200" s="389"/>
      <c r="AP200" s="389"/>
      <c r="AQ200" s="389"/>
      <c r="AR200" s="389"/>
      <c r="AS200" s="389"/>
      <c r="AT200" s="389"/>
      <c r="AU200" s="389"/>
      <c r="AV200" s="389"/>
      <c r="AW200" s="217">
        <f t="shared" si="71"/>
        <v>5</v>
      </c>
      <c r="AX200" s="217">
        <f t="shared" si="72"/>
        <v>4</v>
      </c>
      <c r="AY200" s="217">
        <f t="shared" si="73"/>
        <v>3</v>
      </c>
      <c r="AZ200" s="217">
        <f t="shared" si="74"/>
        <v>3</v>
      </c>
      <c r="BA200" s="217">
        <f t="shared" si="75"/>
        <v>0</v>
      </c>
      <c r="BB200" s="217">
        <f t="shared" si="76"/>
        <v>5</v>
      </c>
      <c r="BC200" s="217">
        <f t="shared" si="77"/>
        <v>62</v>
      </c>
      <c r="BD200" s="217"/>
      <c r="BE200" s="217">
        <f t="shared" si="78"/>
        <v>5</v>
      </c>
      <c r="BF200" s="217">
        <f t="shared" si="79"/>
        <v>5</v>
      </c>
      <c r="BG200" s="217">
        <f t="shared" si="80"/>
        <v>5</v>
      </c>
      <c r="BH200" s="217">
        <f t="shared" si="81"/>
        <v>5</v>
      </c>
      <c r="BI200" s="217">
        <f t="shared" si="82"/>
        <v>0</v>
      </c>
      <c r="BJ200" s="217">
        <f t="shared" si="83"/>
        <v>5</v>
      </c>
      <c r="BK200" s="217">
        <f t="shared" si="84"/>
        <v>70</v>
      </c>
      <c r="BL200" s="389"/>
      <c r="BM200" s="389"/>
      <c r="BN200" s="389"/>
      <c r="BO200" s="389"/>
      <c r="BP200" s="389"/>
      <c r="BQ200" s="389"/>
      <c r="BR200" s="389"/>
      <c r="BS200" s="389"/>
      <c r="BT200" s="389"/>
      <c r="BU200" s="389"/>
      <c r="BV200" s="389"/>
      <c r="BW200" s="389"/>
      <c r="BX200" s="389"/>
      <c r="BY200" s="389"/>
      <c r="BZ200" s="389"/>
      <c r="CA200" s="389"/>
      <c r="CB200" s="389"/>
      <c r="CC200" s="389"/>
      <c r="CD200" s="389"/>
      <c r="CE200" s="389"/>
      <c r="CF200" s="389"/>
      <c r="CG200" s="389"/>
      <c r="CH200" s="389"/>
      <c r="CI200" s="389"/>
      <c r="CJ200" s="389"/>
      <c r="CK200" s="389"/>
      <c r="CL200" s="389"/>
      <c r="CM200" s="389"/>
      <c r="CN200" s="389"/>
      <c r="CO200" s="389"/>
      <c r="CP200" s="389"/>
      <c r="CQ200" s="389"/>
      <c r="CR200" s="389"/>
      <c r="CS200" s="389"/>
      <c r="CT200" s="389"/>
      <c r="CU200" s="389"/>
      <c r="CV200" s="389"/>
      <c r="CW200" s="389"/>
      <c r="CX200" s="389"/>
      <c r="CY200" s="389"/>
      <c r="CZ200" s="389"/>
      <c r="DA200" s="389"/>
      <c r="DB200" s="389"/>
      <c r="DC200" s="389"/>
      <c r="DD200" s="389"/>
      <c r="DE200" s="389"/>
      <c r="DF200" s="389"/>
      <c r="DG200" s="389"/>
      <c r="DH200" s="389"/>
      <c r="DI200" s="389"/>
      <c r="DJ200" s="389"/>
      <c r="DK200" s="389"/>
      <c r="DL200" s="389"/>
      <c r="DM200" s="389"/>
      <c r="DN200" s="389"/>
      <c r="DO200" s="389"/>
      <c r="DP200" s="389"/>
      <c r="DQ200" s="389"/>
      <c r="DR200" s="389"/>
      <c r="DS200" s="389"/>
      <c r="DT200" s="389"/>
      <c r="DU200" s="389"/>
      <c r="DV200" s="389"/>
      <c r="DW200" s="389"/>
      <c r="DX200" s="389"/>
      <c r="DY200" s="389"/>
      <c r="DZ200" s="389"/>
      <c r="EA200" s="389"/>
    </row>
    <row r="201" spans="2:131" s="390" customFormat="1" ht="30" customHeight="1" x14ac:dyDescent="0.35">
      <c r="B201" s="373" t="s">
        <v>809</v>
      </c>
      <c r="C201" s="374" t="s">
        <v>1103</v>
      </c>
      <c r="D201" s="375" t="s">
        <v>796</v>
      </c>
      <c r="E201" s="375" t="s">
        <v>796</v>
      </c>
      <c r="F201" s="375">
        <f>7+20.45031/60</f>
        <v>7.3408385000000003</v>
      </c>
      <c r="G201" s="375">
        <f>134+29.84802/60</f>
        <v>134.497467</v>
      </c>
      <c r="H201" s="375">
        <f>7+20.32911/60</f>
        <v>7.3388185000000004</v>
      </c>
      <c r="I201" s="375">
        <f>134+29.80774/60</f>
        <v>134.49679566666666</v>
      </c>
      <c r="J201" s="375" t="s">
        <v>97</v>
      </c>
      <c r="K201" s="375" t="s">
        <v>502</v>
      </c>
      <c r="L201" s="375" t="s">
        <v>311</v>
      </c>
      <c r="M201" s="378">
        <v>350</v>
      </c>
      <c r="N201" s="375">
        <v>5.5</v>
      </c>
      <c r="O201" s="375">
        <v>2</v>
      </c>
      <c r="P201" s="375" t="s">
        <v>272</v>
      </c>
      <c r="Q201" s="375" t="s">
        <v>275</v>
      </c>
      <c r="R201" s="375" t="s">
        <v>1113</v>
      </c>
      <c r="S201" s="380" t="s">
        <v>92</v>
      </c>
      <c r="T201" s="154">
        <v>2</v>
      </c>
      <c r="U201" s="154">
        <v>2</v>
      </c>
      <c r="V201" s="154">
        <v>2</v>
      </c>
      <c r="W201" s="154">
        <v>2</v>
      </c>
      <c r="X201" s="154" t="s">
        <v>311</v>
      </c>
      <c r="Y201" s="154">
        <v>3</v>
      </c>
      <c r="Z201" s="154">
        <f t="shared" si="85"/>
        <v>46</v>
      </c>
      <c r="AA201" s="405">
        <f t="shared" si="68"/>
        <v>175000</v>
      </c>
      <c r="AB201" s="405">
        <f t="shared" si="69"/>
        <v>105000</v>
      </c>
      <c r="AC201" s="407">
        <f t="shared" si="70"/>
        <v>1600</v>
      </c>
      <c r="AD201" s="343"/>
      <c r="AE201" s="343"/>
      <c r="AF201" s="343"/>
      <c r="AG201" s="343"/>
      <c r="AH201" s="381">
        <f t="shared" si="67"/>
        <v>70000</v>
      </c>
      <c r="AI201" s="381">
        <f t="shared" si="66"/>
        <v>105000</v>
      </c>
      <c r="AJ201" s="381">
        <f t="shared" si="65"/>
        <v>35000</v>
      </c>
      <c r="AK201" s="381"/>
      <c r="AL201" s="389"/>
      <c r="AM201" s="389"/>
      <c r="AN201" s="389"/>
      <c r="AO201" s="389"/>
      <c r="AP201" s="389"/>
      <c r="AQ201" s="389"/>
      <c r="AR201" s="389"/>
      <c r="AS201" s="389"/>
      <c r="AT201" s="389"/>
      <c r="AU201" s="389"/>
      <c r="AV201" s="389"/>
      <c r="AW201" s="217">
        <f t="shared" si="71"/>
        <v>2</v>
      </c>
      <c r="AX201" s="217">
        <f t="shared" si="72"/>
        <v>2</v>
      </c>
      <c r="AY201" s="217">
        <f t="shared" si="73"/>
        <v>2</v>
      </c>
      <c r="AZ201" s="217">
        <f t="shared" si="74"/>
        <v>2</v>
      </c>
      <c r="BA201" s="217">
        <f t="shared" si="75"/>
        <v>0</v>
      </c>
      <c r="BB201" s="217">
        <f t="shared" si="76"/>
        <v>3</v>
      </c>
      <c r="BC201" s="217">
        <f t="shared" si="77"/>
        <v>32</v>
      </c>
      <c r="BD201" s="217"/>
      <c r="BE201" s="217">
        <f t="shared" si="78"/>
        <v>5</v>
      </c>
      <c r="BF201" s="217">
        <f t="shared" si="79"/>
        <v>5</v>
      </c>
      <c r="BG201" s="217">
        <f t="shared" si="80"/>
        <v>5</v>
      </c>
      <c r="BH201" s="217">
        <f t="shared" si="81"/>
        <v>5</v>
      </c>
      <c r="BI201" s="217">
        <f t="shared" si="82"/>
        <v>0</v>
      </c>
      <c r="BJ201" s="217">
        <f t="shared" si="83"/>
        <v>5</v>
      </c>
      <c r="BK201" s="217">
        <f t="shared" si="84"/>
        <v>70</v>
      </c>
      <c r="BL201" s="389"/>
      <c r="BM201" s="389"/>
      <c r="BN201" s="389"/>
      <c r="BO201" s="389"/>
      <c r="BP201" s="389"/>
      <c r="BQ201" s="389"/>
      <c r="BR201" s="389"/>
      <c r="BS201" s="389"/>
      <c r="BT201" s="389"/>
      <c r="BU201" s="389"/>
      <c r="BV201" s="389"/>
      <c r="BW201" s="389"/>
      <c r="BX201" s="389"/>
      <c r="BY201" s="389"/>
      <c r="BZ201" s="389"/>
      <c r="CA201" s="389"/>
      <c r="CB201" s="389"/>
      <c r="CC201" s="389"/>
      <c r="CD201" s="389"/>
      <c r="CE201" s="389"/>
      <c r="CF201" s="389"/>
      <c r="CG201" s="389"/>
      <c r="CH201" s="389"/>
      <c r="CI201" s="389"/>
      <c r="CJ201" s="389"/>
      <c r="CK201" s="389"/>
      <c r="CL201" s="389"/>
      <c r="CM201" s="389"/>
      <c r="CN201" s="389"/>
      <c r="CO201" s="389"/>
      <c r="CP201" s="389"/>
      <c r="CQ201" s="389"/>
      <c r="CR201" s="389"/>
      <c r="CS201" s="389"/>
      <c r="CT201" s="389"/>
      <c r="CU201" s="389"/>
      <c r="CV201" s="389"/>
      <c r="CW201" s="389"/>
      <c r="CX201" s="389"/>
      <c r="CY201" s="389"/>
      <c r="CZ201" s="389"/>
      <c r="DA201" s="389"/>
      <c r="DB201" s="389"/>
      <c r="DC201" s="389"/>
      <c r="DD201" s="389"/>
      <c r="DE201" s="389"/>
      <c r="DF201" s="389"/>
      <c r="DG201" s="389"/>
      <c r="DH201" s="389"/>
      <c r="DI201" s="389"/>
      <c r="DJ201" s="389"/>
      <c r="DK201" s="389"/>
      <c r="DL201" s="389"/>
      <c r="DM201" s="389"/>
      <c r="DN201" s="389"/>
      <c r="DO201" s="389"/>
      <c r="DP201" s="389"/>
      <c r="DQ201" s="389"/>
      <c r="DR201" s="389"/>
      <c r="DS201" s="389"/>
      <c r="DT201" s="389"/>
      <c r="DU201" s="389"/>
      <c r="DV201" s="389"/>
      <c r="DW201" s="389"/>
      <c r="DX201" s="389"/>
      <c r="DY201" s="389"/>
      <c r="DZ201" s="389"/>
      <c r="EA201" s="389"/>
    </row>
    <row r="202" spans="2:131" s="390" customFormat="1" ht="30" customHeight="1" x14ac:dyDescent="0.35">
      <c r="B202" s="373" t="s">
        <v>810</v>
      </c>
      <c r="C202" s="374" t="s">
        <v>960</v>
      </c>
      <c r="D202" s="375" t="s">
        <v>994</v>
      </c>
      <c r="E202" s="375" t="s">
        <v>994</v>
      </c>
      <c r="F202" s="375">
        <f>7+20.66245/60</f>
        <v>7.3443741666666664</v>
      </c>
      <c r="G202" s="375">
        <f>134+29.65027/60</f>
        <v>134.49417116666666</v>
      </c>
      <c r="H202" s="375">
        <f>7+20.70791/60</f>
        <v>7.3451318333333333</v>
      </c>
      <c r="I202" s="375">
        <f>134+29.49188/60</f>
        <v>134.49153133333334</v>
      </c>
      <c r="J202" s="375" t="s">
        <v>97</v>
      </c>
      <c r="K202" s="377">
        <v>2017</v>
      </c>
      <c r="L202" s="375" t="s">
        <v>311</v>
      </c>
      <c r="M202" s="378">
        <v>570</v>
      </c>
      <c r="N202" s="375">
        <v>4.9000000000000004</v>
      </c>
      <c r="O202" s="375">
        <v>2</v>
      </c>
      <c r="P202" s="375" t="s">
        <v>272</v>
      </c>
      <c r="Q202" s="375" t="s">
        <v>275</v>
      </c>
      <c r="R202" s="375" t="s">
        <v>1113</v>
      </c>
      <c r="S202" s="380" t="s">
        <v>92</v>
      </c>
      <c r="T202" s="154">
        <v>5</v>
      </c>
      <c r="U202" s="154">
        <v>4</v>
      </c>
      <c r="V202" s="154">
        <v>4</v>
      </c>
      <c r="W202" s="154">
        <v>4</v>
      </c>
      <c r="X202" s="154" t="s">
        <v>311</v>
      </c>
      <c r="Y202" s="154">
        <v>5</v>
      </c>
      <c r="Z202" s="154">
        <f t="shared" si="85"/>
        <v>92</v>
      </c>
      <c r="AA202" s="405">
        <f t="shared" si="68"/>
        <v>285000</v>
      </c>
      <c r="AB202" s="405">
        <f t="shared" si="69"/>
        <v>171000</v>
      </c>
      <c r="AC202" s="407">
        <f t="shared" si="70"/>
        <v>2600</v>
      </c>
      <c r="AD202" s="343"/>
      <c r="AE202" s="343"/>
      <c r="AF202" s="343"/>
      <c r="AG202" s="343"/>
      <c r="AH202" s="381"/>
      <c r="AI202" s="381"/>
      <c r="AJ202" s="381"/>
      <c r="AK202" s="381"/>
      <c r="AL202" s="389"/>
      <c r="AM202" s="389"/>
      <c r="AN202" s="389"/>
      <c r="AO202" s="389"/>
      <c r="AP202" s="389"/>
      <c r="AQ202" s="389"/>
      <c r="AR202" s="389"/>
      <c r="AS202" s="389"/>
      <c r="AT202" s="389"/>
      <c r="AU202" s="389"/>
      <c r="AV202" s="389"/>
      <c r="AW202" s="217">
        <f t="shared" si="71"/>
        <v>5</v>
      </c>
      <c r="AX202" s="217">
        <f t="shared" si="72"/>
        <v>4</v>
      </c>
      <c r="AY202" s="217">
        <f t="shared" si="73"/>
        <v>4</v>
      </c>
      <c r="AZ202" s="217">
        <f t="shared" si="74"/>
        <v>4</v>
      </c>
      <c r="BA202" s="217">
        <f t="shared" si="75"/>
        <v>0</v>
      </c>
      <c r="BB202" s="217">
        <f t="shared" si="76"/>
        <v>5</v>
      </c>
      <c r="BC202" s="217">
        <f t="shared" si="77"/>
        <v>64</v>
      </c>
      <c r="BD202" s="217"/>
      <c r="BE202" s="217">
        <f t="shared" si="78"/>
        <v>5</v>
      </c>
      <c r="BF202" s="217">
        <f t="shared" si="79"/>
        <v>5</v>
      </c>
      <c r="BG202" s="217">
        <f t="shared" si="80"/>
        <v>5</v>
      </c>
      <c r="BH202" s="217">
        <f t="shared" si="81"/>
        <v>5</v>
      </c>
      <c r="BI202" s="217">
        <f t="shared" si="82"/>
        <v>0</v>
      </c>
      <c r="BJ202" s="217">
        <f t="shared" si="83"/>
        <v>5</v>
      </c>
      <c r="BK202" s="217">
        <f t="shared" si="84"/>
        <v>70</v>
      </c>
      <c r="BL202" s="389"/>
      <c r="BM202" s="389"/>
      <c r="BN202" s="389"/>
      <c r="BO202" s="389"/>
      <c r="BP202" s="389"/>
      <c r="BQ202" s="389"/>
      <c r="BR202" s="389"/>
      <c r="BS202" s="389"/>
      <c r="BT202" s="389"/>
      <c r="BU202" s="389"/>
      <c r="BV202" s="389"/>
      <c r="BW202" s="389"/>
      <c r="BX202" s="389"/>
      <c r="BY202" s="389"/>
      <c r="BZ202" s="389"/>
      <c r="CA202" s="389"/>
      <c r="CB202" s="389"/>
      <c r="CC202" s="389"/>
      <c r="CD202" s="389"/>
      <c r="CE202" s="389"/>
      <c r="CF202" s="389"/>
      <c r="CG202" s="389"/>
      <c r="CH202" s="389"/>
      <c r="CI202" s="389"/>
      <c r="CJ202" s="389"/>
      <c r="CK202" s="389"/>
      <c r="CL202" s="389"/>
      <c r="CM202" s="389"/>
      <c r="CN202" s="389"/>
      <c r="CO202" s="389"/>
      <c r="CP202" s="389"/>
      <c r="CQ202" s="389"/>
      <c r="CR202" s="389"/>
      <c r="CS202" s="389"/>
      <c r="CT202" s="389"/>
      <c r="CU202" s="389"/>
      <c r="CV202" s="389"/>
      <c r="CW202" s="389"/>
      <c r="CX202" s="389"/>
      <c r="CY202" s="389"/>
      <c r="CZ202" s="389"/>
      <c r="DA202" s="389"/>
      <c r="DB202" s="389"/>
      <c r="DC202" s="389"/>
      <c r="DD202" s="389"/>
      <c r="DE202" s="389"/>
      <c r="DF202" s="389"/>
      <c r="DG202" s="389"/>
      <c r="DH202" s="389"/>
      <c r="DI202" s="389"/>
      <c r="DJ202" s="389"/>
      <c r="DK202" s="389"/>
      <c r="DL202" s="389"/>
      <c r="DM202" s="389"/>
      <c r="DN202" s="389"/>
      <c r="DO202" s="389"/>
      <c r="DP202" s="389"/>
      <c r="DQ202" s="389"/>
      <c r="DR202" s="389"/>
      <c r="DS202" s="389"/>
      <c r="DT202" s="389"/>
      <c r="DU202" s="389"/>
      <c r="DV202" s="389"/>
      <c r="DW202" s="389"/>
      <c r="DX202" s="389"/>
      <c r="DY202" s="389"/>
      <c r="DZ202" s="389"/>
      <c r="EA202" s="389"/>
    </row>
    <row r="203" spans="2:131" s="390" customFormat="1" ht="30" customHeight="1" x14ac:dyDescent="0.35">
      <c r="B203" s="373" t="s">
        <v>985</v>
      </c>
      <c r="C203" s="374" t="s">
        <v>959</v>
      </c>
      <c r="D203" s="375" t="s">
        <v>994</v>
      </c>
      <c r="E203" s="375" t="s">
        <v>994</v>
      </c>
      <c r="F203" s="375">
        <f>7+20.54526/60</f>
        <v>7.3424209999999999</v>
      </c>
      <c r="G203" s="375">
        <f>134+29.36371/60</f>
        <v>134.48939516666667</v>
      </c>
      <c r="H203" s="375">
        <f>7+20.40502/60</f>
        <v>7.3400836666666667</v>
      </c>
      <c r="I203" s="375">
        <f>134+29.41864/60</f>
        <v>134.49031066666666</v>
      </c>
      <c r="J203" s="375" t="s">
        <v>97</v>
      </c>
      <c r="K203" s="377">
        <v>2017</v>
      </c>
      <c r="L203" s="375" t="s">
        <v>311</v>
      </c>
      <c r="M203" s="378">
        <v>356</v>
      </c>
      <c r="N203" s="375">
        <v>4.9000000000000004</v>
      </c>
      <c r="O203" s="375">
        <v>2</v>
      </c>
      <c r="P203" s="375" t="s">
        <v>272</v>
      </c>
      <c r="Q203" s="375" t="s">
        <v>275</v>
      </c>
      <c r="R203" s="375" t="s">
        <v>1113</v>
      </c>
      <c r="S203" s="380" t="s">
        <v>92</v>
      </c>
      <c r="T203" s="154">
        <v>5</v>
      </c>
      <c r="U203" s="154">
        <v>5</v>
      </c>
      <c r="V203" s="154">
        <v>4</v>
      </c>
      <c r="W203" s="154">
        <v>3</v>
      </c>
      <c r="X203" s="154" t="s">
        <v>311</v>
      </c>
      <c r="Y203" s="154">
        <v>5</v>
      </c>
      <c r="Z203" s="154">
        <f t="shared" si="85"/>
        <v>96</v>
      </c>
      <c r="AA203" s="405">
        <f t="shared" si="68"/>
        <v>178000</v>
      </c>
      <c r="AB203" s="405">
        <f t="shared" si="69"/>
        <v>106800</v>
      </c>
      <c r="AC203" s="407">
        <f t="shared" si="70"/>
        <v>1600</v>
      </c>
      <c r="AD203" s="343"/>
      <c r="AE203" s="343"/>
      <c r="AF203" s="343"/>
      <c r="AG203" s="343"/>
      <c r="AH203" s="381"/>
      <c r="AI203" s="381"/>
      <c r="AJ203" s="381"/>
      <c r="AK203" s="381"/>
      <c r="AL203" s="389"/>
      <c r="AM203" s="389"/>
      <c r="AN203" s="389"/>
      <c r="AO203" s="389"/>
      <c r="AP203" s="389"/>
      <c r="AQ203" s="389"/>
      <c r="AR203" s="389"/>
      <c r="AS203" s="389"/>
      <c r="AT203" s="389"/>
      <c r="AU203" s="389"/>
      <c r="AV203" s="389"/>
      <c r="AW203" s="217">
        <f t="shared" si="71"/>
        <v>5</v>
      </c>
      <c r="AX203" s="217">
        <f t="shared" si="72"/>
        <v>5</v>
      </c>
      <c r="AY203" s="217">
        <f t="shared" si="73"/>
        <v>4</v>
      </c>
      <c r="AZ203" s="217">
        <f t="shared" si="74"/>
        <v>3</v>
      </c>
      <c r="BA203" s="217">
        <f t="shared" si="75"/>
        <v>0</v>
      </c>
      <c r="BB203" s="217">
        <f t="shared" si="76"/>
        <v>5</v>
      </c>
      <c r="BC203" s="217">
        <f t="shared" si="77"/>
        <v>67</v>
      </c>
      <c r="BD203" s="217"/>
      <c r="BE203" s="217">
        <f t="shared" si="78"/>
        <v>5</v>
      </c>
      <c r="BF203" s="217">
        <f t="shared" si="79"/>
        <v>5</v>
      </c>
      <c r="BG203" s="217">
        <f t="shared" si="80"/>
        <v>5</v>
      </c>
      <c r="BH203" s="217">
        <f t="shared" si="81"/>
        <v>5</v>
      </c>
      <c r="BI203" s="217">
        <f t="shared" si="82"/>
        <v>0</v>
      </c>
      <c r="BJ203" s="217">
        <f t="shared" si="83"/>
        <v>5</v>
      </c>
      <c r="BK203" s="217">
        <f t="shared" si="84"/>
        <v>70</v>
      </c>
      <c r="BL203" s="389"/>
      <c r="BM203" s="389"/>
      <c r="BN203" s="389"/>
      <c r="BO203" s="389"/>
      <c r="BP203" s="389"/>
      <c r="BQ203" s="389"/>
      <c r="BR203" s="389"/>
      <c r="BS203" s="389"/>
      <c r="BT203" s="389"/>
      <c r="BU203" s="389"/>
      <c r="BV203" s="389"/>
      <c r="BW203" s="389"/>
      <c r="BX203" s="389"/>
      <c r="BY203" s="389"/>
      <c r="BZ203" s="389"/>
      <c r="CA203" s="389"/>
      <c r="CB203" s="389"/>
      <c r="CC203" s="389"/>
      <c r="CD203" s="389"/>
      <c r="CE203" s="389"/>
      <c r="CF203" s="389"/>
      <c r="CG203" s="389"/>
      <c r="CH203" s="389"/>
      <c r="CI203" s="389"/>
      <c r="CJ203" s="389"/>
      <c r="CK203" s="389"/>
      <c r="CL203" s="389"/>
      <c r="CM203" s="389"/>
      <c r="CN203" s="389"/>
      <c r="CO203" s="389"/>
      <c r="CP203" s="389"/>
      <c r="CQ203" s="389"/>
      <c r="CR203" s="389"/>
      <c r="CS203" s="389"/>
      <c r="CT203" s="389"/>
      <c r="CU203" s="389"/>
      <c r="CV203" s="389"/>
      <c r="CW203" s="389"/>
      <c r="CX203" s="389"/>
      <c r="CY203" s="389"/>
      <c r="CZ203" s="389"/>
      <c r="DA203" s="389"/>
      <c r="DB203" s="389"/>
      <c r="DC203" s="389"/>
      <c r="DD203" s="389"/>
      <c r="DE203" s="389"/>
      <c r="DF203" s="389"/>
      <c r="DG203" s="389"/>
      <c r="DH203" s="389"/>
      <c r="DI203" s="389"/>
      <c r="DJ203" s="389"/>
      <c r="DK203" s="389"/>
      <c r="DL203" s="389"/>
      <c r="DM203" s="389"/>
      <c r="DN203" s="389"/>
      <c r="DO203" s="389"/>
      <c r="DP203" s="389"/>
      <c r="DQ203" s="389"/>
      <c r="DR203" s="389"/>
      <c r="DS203" s="389"/>
      <c r="DT203" s="389"/>
      <c r="DU203" s="389"/>
      <c r="DV203" s="389"/>
      <c r="DW203" s="389"/>
      <c r="DX203" s="389"/>
      <c r="DY203" s="389"/>
      <c r="DZ203" s="389"/>
      <c r="EA203" s="389"/>
    </row>
    <row r="204" spans="2:131" s="390" customFormat="1" ht="30" customHeight="1" x14ac:dyDescent="0.35">
      <c r="B204" s="373" t="s">
        <v>986</v>
      </c>
      <c r="C204" s="374" t="s">
        <v>984</v>
      </c>
      <c r="D204" s="375" t="s">
        <v>994</v>
      </c>
      <c r="E204" s="375" t="s">
        <v>994</v>
      </c>
      <c r="F204" s="375">
        <f>7+20.71755/60</f>
        <v>7.3452925000000002</v>
      </c>
      <c r="G204" s="375">
        <f>134+29.38843/60</f>
        <v>134.48980716666668</v>
      </c>
      <c r="H204" s="375">
        <f>7+20.52887/60</f>
        <v>7.3421478333333337</v>
      </c>
      <c r="I204" s="375">
        <f>134+29.3161/60</f>
        <v>134.48860166666665</v>
      </c>
      <c r="J204" s="375" t="s">
        <v>277</v>
      </c>
      <c r="K204" s="377">
        <v>2016</v>
      </c>
      <c r="L204" s="375" t="s">
        <v>311</v>
      </c>
      <c r="M204" s="378">
        <v>460</v>
      </c>
      <c r="N204" s="375">
        <v>4.9000000000000004</v>
      </c>
      <c r="O204" s="375">
        <v>2</v>
      </c>
      <c r="P204" s="375" t="s">
        <v>272</v>
      </c>
      <c r="Q204" s="375" t="s">
        <v>275</v>
      </c>
      <c r="R204" s="375" t="s">
        <v>1113</v>
      </c>
      <c r="S204" s="380" t="s">
        <v>92</v>
      </c>
      <c r="T204" s="154">
        <v>4</v>
      </c>
      <c r="U204" s="154">
        <v>4</v>
      </c>
      <c r="V204" s="154">
        <v>4</v>
      </c>
      <c r="W204" s="154">
        <v>3</v>
      </c>
      <c r="X204" s="154" t="s">
        <v>311</v>
      </c>
      <c r="Y204" s="154">
        <v>5</v>
      </c>
      <c r="Z204" s="154">
        <f t="shared" si="85"/>
        <v>85</v>
      </c>
      <c r="AA204" s="405">
        <f t="shared" si="68"/>
        <v>230000</v>
      </c>
      <c r="AB204" s="405">
        <f t="shared" si="69"/>
        <v>138000</v>
      </c>
      <c r="AC204" s="407">
        <f t="shared" si="70"/>
        <v>2100</v>
      </c>
      <c r="AD204" s="343"/>
      <c r="AE204" s="343"/>
      <c r="AF204" s="343"/>
      <c r="AG204" s="343"/>
      <c r="AH204" s="381"/>
      <c r="AI204" s="381"/>
      <c r="AJ204" s="381"/>
      <c r="AK204" s="381"/>
      <c r="AL204" s="389"/>
      <c r="AM204" s="389"/>
      <c r="AN204" s="389"/>
      <c r="AO204" s="389"/>
      <c r="AP204" s="389"/>
      <c r="AQ204" s="389"/>
      <c r="AR204" s="389"/>
      <c r="AS204" s="389"/>
      <c r="AT204" s="389"/>
      <c r="AU204" s="389"/>
      <c r="AV204" s="389"/>
      <c r="AW204" s="217">
        <f t="shared" si="71"/>
        <v>4</v>
      </c>
      <c r="AX204" s="217">
        <f t="shared" si="72"/>
        <v>4</v>
      </c>
      <c r="AY204" s="217">
        <f t="shared" si="73"/>
        <v>4</v>
      </c>
      <c r="AZ204" s="217">
        <f t="shared" si="74"/>
        <v>3</v>
      </c>
      <c r="BA204" s="217">
        <f t="shared" si="75"/>
        <v>0</v>
      </c>
      <c r="BB204" s="217">
        <f t="shared" si="76"/>
        <v>5</v>
      </c>
      <c r="BC204" s="217">
        <f t="shared" si="77"/>
        <v>59</v>
      </c>
      <c r="BD204" s="217"/>
      <c r="BE204" s="217">
        <f t="shared" si="78"/>
        <v>5</v>
      </c>
      <c r="BF204" s="217">
        <f t="shared" si="79"/>
        <v>5</v>
      </c>
      <c r="BG204" s="217">
        <f t="shared" si="80"/>
        <v>5</v>
      </c>
      <c r="BH204" s="217">
        <f t="shared" si="81"/>
        <v>5</v>
      </c>
      <c r="BI204" s="217">
        <f t="shared" si="82"/>
        <v>0</v>
      </c>
      <c r="BJ204" s="217">
        <f t="shared" si="83"/>
        <v>5</v>
      </c>
      <c r="BK204" s="217">
        <f t="shared" si="84"/>
        <v>70</v>
      </c>
      <c r="BL204" s="389"/>
      <c r="BM204" s="389"/>
      <c r="BN204" s="389"/>
      <c r="BO204" s="389"/>
      <c r="BP204" s="389"/>
      <c r="BQ204" s="389"/>
      <c r="BR204" s="389"/>
      <c r="BS204" s="389"/>
      <c r="BT204" s="389"/>
      <c r="BU204" s="389"/>
      <c r="BV204" s="389"/>
      <c r="BW204" s="389"/>
      <c r="BX204" s="389"/>
      <c r="BY204" s="389"/>
      <c r="BZ204" s="389"/>
      <c r="CA204" s="389"/>
      <c r="CB204" s="389"/>
      <c r="CC204" s="389"/>
      <c r="CD204" s="389"/>
      <c r="CE204" s="389"/>
      <c r="CF204" s="389"/>
      <c r="CG204" s="389"/>
      <c r="CH204" s="389"/>
      <c r="CI204" s="389"/>
      <c r="CJ204" s="389"/>
      <c r="CK204" s="389"/>
      <c r="CL204" s="389"/>
      <c r="CM204" s="389"/>
      <c r="CN204" s="389"/>
      <c r="CO204" s="389"/>
      <c r="CP204" s="389"/>
      <c r="CQ204" s="389"/>
      <c r="CR204" s="389"/>
      <c r="CS204" s="389"/>
      <c r="CT204" s="389"/>
      <c r="CU204" s="389"/>
      <c r="CV204" s="389"/>
      <c r="CW204" s="389"/>
      <c r="CX204" s="389"/>
      <c r="CY204" s="389"/>
      <c r="CZ204" s="389"/>
      <c r="DA204" s="389"/>
      <c r="DB204" s="389"/>
      <c r="DC204" s="389"/>
      <c r="DD204" s="389"/>
      <c r="DE204" s="389"/>
      <c r="DF204" s="389"/>
      <c r="DG204" s="389"/>
      <c r="DH204" s="389"/>
      <c r="DI204" s="389"/>
      <c r="DJ204" s="389"/>
      <c r="DK204" s="389"/>
      <c r="DL204" s="389"/>
      <c r="DM204" s="389"/>
      <c r="DN204" s="389"/>
      <c r="DO204" s="389"/>
      <c r="DP204" s="389"/>
      <c r="DQ204" s="389"/>
      <c r="DR204" s="389"/>
      <c r="DS204" s="389"/>
      <c r="DT204" s="389"/>
      <c r="DU204" s="389"/>
      <c r="DV204" s="389"/>
      <c r="DW204" s="389"/>
      <c r="DX204" s="389"/>
      <c r="DY204" s="389"/>
      <c r="DZ204" s="389"/>
      <c r="EA204" s="389"/>
    </row>
    <row r="205" spans="2:131" s="372" customFormat="1" ht="30" customHeight="1" x14ac:dyDescent="0.35">
      <c r="B205" s="373" t="s">
        <v>987</v>
      </c>
      <c r="C205" s="374" t="s">
        <v>815</v>
      </c>
      <c r="D205" s="375" t="s">
        <v>800</v>
      </c>
      <c r="E205" s="375" t="s">
        <v>800</v>
      </c>
      <c r="F205" s="383">
        <f>7+20/60+45/3600</f>
        <v>7.3458333333333332</v>
      </c>
      <c r="G205" s="383">
        <f>134+29/60+7/3600</f>
        <v>134.48527777777775</v>
      </c>
      <c r="H205" s="383">
        <f>7+20/60+58/3600</f>
        <v>7.349444444444444</v>
      </c>
      <c r="I205" s="383">
        <f>134+29/60+17/3600</f>
        <v>134.48805555555555</v>
      </c>
      <c r="J205" s="375" t="s">
        <v>277</v>
      </c>
      <c r="K205" s="377" t="s">
        <v>421</v>
      </c>
      <c r="L205" s="375">
        <v>2012</v>
      </c>
      <c r="M205" s="378">
        <v>690</v>
      </c>
      <c r="N205" s="379">
        <v>5.5</v>
      </c>
      <c r="O205" s="375">
        <v>2</v>
      </c>
      <c r="P205" s="375" t="s">
        <v>83</v>
      </c>
      <c r="Q205" s="375" t="s">
        <v>275</v>
      </c>
      <c r="R205" s="375" t="s">
        <v>801</v>
      </c>
      <c r="S205" s="380" t="s">
        <v>92</v>
      </c>
      <c r="T205" s="154">
        <v>5</v>
      </c>
      <c r="U205" s="154">
        <v>4</v>
      </c>
      <c r="V205" s="154">
        <v>4</v>
      </c>
      <c r="W205" s="154">
        <v>4</v>
      </c>
      <c r="X205" s="154" t="s">
        <v>311</v>
      </c>
      <c r="Y205" s="154">
        <v>5</v>
      </c>
      <c r="Z205" s="154">
        <f t="shared" si="85"/>
        <v>92</v>
      </c>
      <c r="AA205" s="405">
        <f t="shared" si="68"/>
        <v>345000</v>
      </c>
      <c r="AB205" s="405">
        <f t="shared" si="69"/>
        <v>207000</v>
      </c>
      <c r="AC205" s="407">
        <f t="shared" si="70"/>
        <v>3100</v>
      </c>
      <c r="AD205" s="343"/>
      <c r="AE205" s="343"/>
      <c r="AF205" s="343"/>
      <c r="AG205" s="343"/>
      <c r="AH205" s="381"/>
      <c r="AI205" s="381"/>
      <c r="AJ205" s="381"/>
      <c r="AK205" s="381"/>
      <c r="AW205" s="217">
        <f t="shared" si="71"/>
        <v>5</v>
      </c>
      <c r="AX205" s="217">
        <f t="shared" si="72"/>
        <v>4</v>
      </c>
      <c r="AY205" s="217">
        <f t="shared" si="73"/>
        <v>4</v>
      </c>
      <c r="AZ205" s="217">
        <f t="shared" si="74"/>
        <v>4</v>
      </c>
      <c r="BA205" s="217">
        <f t="shared" si="75"/>
        <v>0</v>
      </c>
      <c r="BB205" s="217">
        <f t="shared" si="76"/>
        <v>5</v>
      </c>
      <c r="BC205" s="217">
        <f t="shared" si="77"/>
        <v>64</v>
      </c>
      <c r="BD205" s="217"/>
      <c r="BE205" s="217">
        <f t="shared" si="78"/>
        <v>5</v>
      </c>
      <c r="BF205" s="217">
        <f t="shared" si="79"/>
        <v>5</v>
      </c>
      <c r="BG205" s="217">
        <f t="shared" si="80"/>
        <v>5</v>
      </c>
      <c r="BH205" s="217">
        <f t="shared" si="81"/>
        <v>5</v>
      </c>
      <c r="BI205" s="217">
        <f t="shared" si="82"/>
        <v>0</v>
      </c>
      <c r="BJ205" s="217">
        <f t="shared" si="83"/>
        <v>5</v>
      </c>
      <c r="BK205" s="217">
        <f t="shared" si="84"/>
        <v>70</v>
      </c>
    </row>
    <row r="206" spans="2:131" s="390" customFormat="1" ht="30" customHeight="1" x14ac:dyDescent="0.35">
      <c r="B206" s="373" t="s">
        <v>988</v>
      </c>
      <c r="C206" s="374" t="s">
        <v>1114</v>
      </c>
      <c r="D206" s="375" t="s">
        <v>800</v>
      </c>
      <c r="E206" s="375" t="s">
        <v>800</v>
      </c>
      <c r="F206" s="375">
        <f>7+20.9499/60</f>
        <v>7.3491650000000002</v>
      </c>
      <c r="G206" s="375">
        <f>134+29.18976/60</f>
        <v>134.48649599999999</v>
      </c>
      <c r="H206" s="375">
        <f>7+21.04042/60</f>
        <v>7.3506736666666663</v>
      </c>
      <c r="I206" s="375">
        <f>134+29.28497/60</f>
        <v>134.48808283333332</v>
      </c>
      <c r="J206" s="375" t="s">
        <v>97</v>
      </c>
      <c r="K206" s="375">
        <v>2015</v>
      </c>
      <c r="L206" s="375" t="s">
        <v>311</v>
      </c>
      <c r="M206" s="378">
        <v>323</v>
      </c>
      <c r="N206" s="375">
        <v>4.9000000000000004</v>
      </c>
      <c r="O206" s="375">
        <v>2</v>
      </c>
      <c r="P206" s="375" t="s">
        <v>272</v>
      </c>
      <c r="Q206" s="375" t="s">
        <v>275</v>
      </c>
      <c r="R206" s="375" t="s">
        <v>1113</v>
      </c>
      <c r="S206" s="380" t="s">
        <v>92</v>
      </c>
      <c r="T206" s="154">
        <v>5</v>
      </c>
      <c r="U206" s="154">
        <v>5</v>
      </c>
      <c r="V206" s="154">
        <v>3</v>
      </c>
      <c r="W206" s="154">
        <v>4</v>
      </c>
      <c r="X206" s="154" t="s">
        <v>311</v>
      </c>
      <c r="Y206" s="154">
        <v>5</v>
      </c>
      <c r="Z206" s="154">
        <f t="shared" si="85"/>
        <v>96</v>
      </c>
      <c r="AA206" s="405">
        <f t="shared" si="68"/>
        <v>161500</v>
      </c>
      <c r="AB206" s="405">
        <f t="shared" si="69"/>
        <v>96900</v>
      </c>
      <c r="AC206" s="407">
        <f t="shared" si="70"/>
        <v>1500</v>
      </c>
      <c r="AD206" s="343"/>
      <c r="AE206" s="343"/>
      <c r="AF206" s="343"/>
      <c r="AG206" s="343"/>
      <c r="AH206" s="381"/>
      <c r="AI206" s="381"/>
      <c r="AJ206" s="381"/>
      <c r="AK206" s="381"/>
      <c r="AL206" s="389"/>
      <c r="AM206" s="389"/>
      <c r="AN206" s="389"/>
      <c r="AO206" s="389"/>
      <c r="AP206" s="389"/>
      <c r="AQ206" s="389"/>
      <c r="AR206" s="389"/>
      <c r="AS206" s="389"/>
      <c r="AT206" s="389"/>
      <c r="AU206" s="389"/>
      <c r="AV206" s="389"/>
      <c r="AW206" s="217">
        <f t="shared" si="71"/>
        <v>5</v>
      </c>
      <c r="AX206" s="217">
        <f t="shared" si="72"/>
        <v>5</v>
      </c>
      <c r="AY206" s="217">
        <f t="shared" si="73"/>
        <v>3</v>
      </c>
      <c r="AZ206" s="217">
        <f t="shared" si="74"/>
        <v>4</v>
      </c>
      <c r="BA206" s="217">
        <f t="shared" si="75"/>
        <v>0</v>
      </c>
      <c r="BB206" s="217">
        <f t="shared" si="76"/>
        <v>5</v>
      </c>
      <c r="BC206" s="217">
        <f t="shared" si="77"/>
        <v>67</v>
      </c>
      <c r="BD206" s="217"/>
      <c r="BE206" s="217">
        <f t="shared" si="78"/>
        <v>5</v>
      </c>
      <c r="BF206" s="217">
        <f t="shared" si="79"/>
        <v>5</v>
      </c>
      <c r="BG206" s="217">
        <f t="shared" si="80"/>
        <v>5</v>
      </c>
      <c r="BH206" s="217">
        <f t="shared" si="81"/>
        <v>5</v>
      </c>
      <c r="BI206" s="217">
        <f t="shared" si="82"/>
        <v>0</v>
      </c>
      <c r="BJ206" s="217">
        <f t="shared" si="83"/>
        <v>5</v>
      </c>
      <c r="BK206" s="217">
        <f t="shared" si="84"/>
        <v>70</v>
      </c>
      <c r="BL206" s="389"/>
      <c r="BM206" s="389"/>
      <c r="BN206" s="389"/>
      <c r="BO206" s="389"/>
      <c r="BP206" s="389"/>
      <c r="BQ206" s="389"/>
      <c r="BR206" s="389"/>
      <c r="BS206" s="389"/>
      <c r="BT206" s="389"/>
      <c r="BU206" s="389"/>
      <c r="BV206" s="389"/>
      <c r="BW206" s="389"/>
      <c r="BX206" s="389"/>
      <c r="BY206" s="389"/>
      <c r="BZ206" s="389"/>
      <c r="CA206" s="389"/>
      <c r="CB206" s="389"/>
      <c r="CC206" s="389"/>
      <c r="CD206" s="389"/>
      <c r="CE206" s="389"/>
      <c r="CF206" s="389"/>
      <c r="CG206" s="389"/>
      <c r="CH206" s="389"/>
      <c r="CI206" s="389"/>
      <c r="CJ206" s="389"/>
      <c r="CK206" s="389"/>
      <c r="CL206" s="389"/>
      <c r="CM206" s="389"/>
      <c r="CN206" s="389"/>
      <c r="CO206" s="389"/>
      <c r="CP206" s="389"/>
      <c r="CQ206" s="389"/>
      <c r="CR206" s="389"/>
      <c r="CS206" s="389"/>
      <c r="CT206" s="389"/>
      <c r="CU206" s="389"/>
      <c r="CV206" s="389"/>
      <c r="CW206" s="389"/>
      <c r="CX206" s="389"/>
      <c r="CY206" s="389"/>
      <c r="CZ206" s="389"/>
      <c r="DA206" s="389"/>
      <c r="DB206" s="389"/>
      <c r="DC206" s="389"/>
      <c r="DD206" s="389"/>
      <c r="DE206" s="389"/>
      <c r="DF206" s="389"/>
      <c r="DG206" s="389"/>
      <c r="DH206" s="389"/>
      <c r="DI206" s="389"/>
      <c r="DJ206" s="389"/>
      <c r="DK206" s="389"/>
      <c r="DL206" s="389"/>
      <c r="DM206" s="389"/>
      <c r="DN206" s="389"/>
      <c r="DO206" s="389"/>
      <c r="DP206" s="389"/>
      <c r="DQ206" s="389"/>
      <c r="DR206" s="389"/>
      <c r="DS206" s="389"/>
      <c r="DT206" s="389"/>
      <c r="DU206" s="389"/>
      <c r="DV206" s="389"/>
      <c r="DW206" s="389"/>
      <c r="DX206" s="389"/>
      <c r="DY206" s="389"/>
      <c r="DZ206" s="389"/>
      <c r="EA206" s="389"/>
    </row>
    <row r="207" spans="2:131" s="372" customFormat="1" ht="30" customHeight="1" x14ac:dyDescent="0.35">
      <c r="B207" s="373" t="s">
        <v>989</v>
      </c>
      <c r="C207" s="374" t="s">
        <v>1006</v>
      </c>
      <c r="D207" s="375" t="s">
        <v>800</v>
      </c>
      <c r="E207" s="375" t="s">
        <v>800</v>
      </c>
      <c r="F207" s="383">
        <f>7+20/60+57/3600</f>
        <v>7.3491666666666662</v>
      </c>
      <c r="G207" s="383">
        <f>134+29/60+11/3600</f>
        <v>134.48638888888888</v>
      </c>
      <c r="H207" s="375">
        <f>7+21.00778/60</f>
        <v>7.3501296666666667</v>
      </c>
      <c r="I207" s="375">
        <f>134+29.07623/60</f>
        <v>134.48460383333332</v>
      </c>
      <c r="J207" s="375" t="s">
        <v>97</v>
      </c>
      <c r="K207" s="377">
        <v>2014</v>
      </c>
      <c r="L207" s="375" t="s">
        <v>311</v>
      </c>
      <c r="M207" s="378">
        <v>255</v>
      </c>
      <c r="N207" s="379">
        <v>5.5</v>
      </c>
      <c r="O207" s="375">
        <v>2</v>
      </c>
      <c r="P207" s="375" t="s">
        <v>272</v>
      </c>
      <c r="Q207" s="375" t="s">
        <v>275</v>
      </c>
      <c r="R207" s="375" t="s">
        <v>1113</v>
      </c>
      <c r="S207" s="380" t="s">
        <v>92</v>
      </c>
      <c r="T207" s="154">
        <v>5</v>
      </c>
      <c r="U207" s="154">
        <v>5</v>
      </c>
      <c r="V207" s="154">
        <v>3</v>
      </c>
      <c r="W207" s="154">
        <v>3</v>
      </c>
      <c r="X207" s="154" t="s">
        <v>311</v>
      </c>
      <c r="Y207" s="154">
        <v>5</v>
      </c>
      <c r="Z207" s="154">
        <f t="shared" si="85"/>
        <v>95</v>
      </c>
      <c r="AA207" s="405">
        <f t="shared" si="68"/>
        <v>127500</v>
      </c>
      <c r="AB207" s="405">
        <f t="shared" si="69"/>
        <v>76500</v>
      </c>
      <c r="AC207" s="407">
        <f t="shared" si="70"/>
        <v>1100</v>
      </c>
      <c r="AD207" s="343"/>
      <c r="AE207" s="343"/>
      <c r="AF207" s="343"/>
      <c r="AG207" s="343"/>
      <c r="AH207" s="381"/>
      <c r="AI207" s="381"/>
      <c r="AJ207" s="381"/>
      <c r="AK207" s="381"/>
      <c r="AW207" s="217">
        <f t="shared" si="71"/>
        <v>5</v>
      </c>
      <c r="AX207" s="217">
        <f t="shared" si="72"/>
        <v>5</v>
      </c>
      <c r="AY207" s="217">
        <f t="shared" si="73"/>
        <v>3</v>
      </c>
      <c r="AZ207" s="217">
        <f t="shared" si="74"/>
        <v>3</v>
      </c>
      <c r="BA207" s="217">
        <f t="shared" si="75"/>
        <v>0</v>
      </c>
      <c r="BB207" s="217">
        <f t="shared" si="76"/>
        <v>5</v>
      </c>
      <c r="BC207" s="217">
        <f t="shared" si="77"/>
        <v>66</v>
      </c>
      <c r="BD207" s="217"/>
      <c r="BE207" s="217">
        <f t="shared" si="78"/>
        <v>5</v>
      </c>
      <c r="BF207" s="217">
        <f t="shared" si="79"/>
        <v>5</v>
      </c>
      <c r="BG207" s="217">
        <f t="shared" si="80"/>
        <v>5</v>
      </c>
      <c r="BH207" s="217">
        <f t="shared" si="81"/>
        <v>5</v>
      </c>
      <c r="BI207" s="217">
        <f t="shared" si="82"/>
        <v>0</v>
      </c>
      <c r="BJ207" s="217">
        <f t="shared" si="83"/>
        <v>5</v>
      </c>
      <c r="BK207" s="217">
        <f t="shared" si="84"/>
        <v>70</v>
      </c>
    </row>
    <row r="208" spans="2:131" s="390" customFormat="1" ht="30" customHeight="1" x14ac:dyDescent="0.35">
      <c r="B208" s="373" t="s">
        <v>990</v>
      </c>
      <c r="C208" s="374" t="s">
        <v>1098</v>
      </c>
      <c r="D208" s="375" t="s">
        <v>800</v>
      </c>
      <c r="E208" s="375" t="s">
        <v>800</v>
      </c>
      <c r="F208" s="375">
        <f>7+20.89457/60</f>
        <v>7.3482428333333329</v>
      </c>
      <c r="G208" s="375">
        <f>134+29.04419/60</f>
        <v>134.48406983333334</v>
      </c>
      <c r="H208" s="375">
        <f>7+20.77912/60</f>
        <v>7.3463186666666669</v>
      </c>
      <c r="I208" s="375">
        <f>134+29.11926/60</f>
        <v>134.485321</v>
      </c>
      <c r="J208" s="375" t="s">
        <v>97</v>
      </c>
      <c r="K208" s="375">
        <v>2015</v>
      </c>
      <c r="L208" s="375" t="s">
        <v>311</v>
      </c>
      <c r="M208" s="378">
        <v>294</v>
      </c>
      <c r="N208" s="375">
        <v>4.9000000000000004</v>
      </c>
      <c r="O208" s="375">
        <v>2</v>
      </c>
      <c r="P208" s="375" t="s">
        <v>272</v>
      </c>
      <c r="Q208" s="375" t="s">
        <v>275</v>
      </c>
      <c r="R208" s="375" t="s">
        <v>801</v>
      </c>
      <c r="S208" s="380" t="s">
        <v>92</v>
      </c>
      <c r="T208" s="154">
        <v>5</v>
      </c>
      <c r="U208" s="154">
        <v>4</v>
      </c>
      <c r="V208" s="154">
        <v>4</v>
      </c>
      <c r="W208" s="154">
        <v>3</v>
      </c>
      <c r="X208" s="154" t="s">
        <v>311</v>
      </c>
      <c r="Y208" s="154">
        <v>5</v>
      </c>
      <c r="Z208" s="154">
        <f t="shared" si="85"/>
        <v>90</v>
      </c>
      <c r="AA208" s="405">
        <f t="shared" si="68"/>
        <v>147000</v>
      </c>
      <c r="AB208" s="405">
        <f t="shared" si="69"/>
        <v>88200</v>
      </c>
      <c r="AC208" s="407">
        <f t="shared" si="70"/>
        <v>1300</v>
      </c>
      <c r="AD208" s="343"/>
      <c r="AE208" s="343"/>
      <c r="AF208" s="343"/>
      <c r="AG208" s="343"/>
      <c r="AH208" s="381"/>
      <c r="AI208" s="381"/>
      <c r="AJ208" s="381"/>
      <c r="AK208" s="381"/>
      <c r="AL208" s="389"/>
      <c r="AM208" s="389"/>
      <c r="AN208" s="389"/>
      <c r="AO208" s="389"/>
      <c r="AP208" s="389"/>
      <c r="AQ208" s="389"/>
      <c r="AR208" s="389"/>
      <c r="AS208" s="389"/>
      <c r="AT208" s="389"/>
      <c r="AU208" s="389"/>
      <c r="AV208" s="389"/>
      <c r="AW208" s="217">
        <f t="shared" si="71"/>
        <v>5</v>
      </c>
      <c r="AX208" s="217">
        <f t="shared" si="72"/>
        <v>4</v>
      </c>
      <c r="AY208" s="217">
        <f t="shared" si="73"/>
        <v>4</v>
      </c>
      <c r="AZ208" s="217">
        <f t="shared" si="74"/>
        <v>3</v>
      </c>
      <c r="BA208" s="217">
        <f t="shared" si="75"/>
        <v>0</v>
      </c>
      <c r="BB208" s="217">
        <f t="shared" si="76"/>
        <v>5</v>
      </c>
      <c r="BC208" s="217">
        <f t="shared" si="77"/>
        <v>63</v>
      </c>
      <c r="BD208" s="217"/>
      <c r="BE208" s="217">
        <f t="shared" si="78"/>
        <v>5</v>
      </c>
      <c r="BF208" s="217">
        <f t="shared" si="79"/>
        <v>5</v>
      </c>
      <c r="BG208" s="217">
        <f t="shared" si="80"/>
        <v>5</v>
      </c>
      <c r="BH208" s="217">
        <f t="shared" si="81"/>
        <v>5</v>
      </c>
      <c r="BI208" s="217">
        <f t="shared" si="82"/>
        <v>0</v>
      </c>
      <c r="BJ208" s="217">
        <f t="shared" si="83"/>
        <v>5</v>
      </c>
      <c r="BK208" s="217">
        <f t="shared" si="84"/>
        <v>70</v>
      </c>
      <c r="BL208" s="389"/>
      <c r="BM208" s="389"/>
      <c r="BN208" s="389"/>
      <c r="BO208" s="389"/>
      <c r="BP208" s="389"/>
      <c r="BQ208" s="389"/>
      <c r="BR208" s="389"/>
      <c r="BS208" s="389"/>
      <c r="BT208" s="389"/>
      <c r="BU208" s="389"/>
      <c r="BV208" s="389"/>
      <c r="BW208" s="389"/>
      <c r="BX208" s="389"/>
      <c r="BY208" s="389"/>
      <c r="BZ208" s="389"/>
      <c r="CA208" s="389"/>
      <c r="CB208" s="389"/>
      <c r="CC208" s="389"/>
      <c r="CD208" s="389"/>
      <c r="CE208" s="389"/>
      <c r="CF208" s="389"/>
      <c r="CG208" s="389"/>
      <c r="CH208" s="389"/>
      <c r="CI208" s="389"/>
      <c r="CJ208" s="389"/>
      <c r="CK208" s="389"/>
      <c r="CL208" s="389"/>
      <c r="CM208" s="389"/>
      <c r="CN208" s="389"/>
      <c r="CO208" s="389"/>
      <c r="CP208" s="389"/>
      <c r="CQ208" s="389"/>
      <c r="CR208" s="389"/>
      <c r="CS208" s="389"/>
      <c r="CT208" s="389"/>
      <c r="CU208" s="389"/>
      <c r="CV208" s="389"/>
      <c r="CW208" s="389"/>
      <c r="CX208" s="389"/>
      <c r="CY208" s="389"/>
      <c r="CZ208" s="389"/>
      <c r="DA208" s="389"/>
      <c r="DB208" s="389"/>
      <c r="DC208" s="389"/>
      <c r="DD208" s="389"/>
      <c r="DE208" s="389"/>
      <c r="DF208" s="389"/>
      <c r="DG208" s="389"/>
      <c r="DH208" s="389"/>
      <c r="DI208" s="389"/>
      <c r="DJ208" s="389"/>
      <c r="DK208" s="389"/>
      <c r="DL208" s="389"/>
      <c r="DM208" s="389"/>
      <c r="DN208" s="389"/>
      <c r="DO208" s="389"/>
      <c r="DP208" s="389"/>
      <c r="DQ208" s="389"/>
      <c r="DR208" s="389"/>
      <c r="DS208" s="389"/>
      <c r="DT208" s="389"/>
      <c r="DU208" s="389"/>
      <c r="DV208" s="389"/>
      <c r="DW208" s="389"/>
      <c r="DX208" s="389"/>
      <c r="DY208" s="389"/>
      <c r="DZ208" s="389"/>
      <c r="EA208" s="389"/>
    </row>
    <row r="209" spans="2:131" s="372" customFormat="1" ht="30" customHeight="1" x14ac:dyDescent="0.35">
      <c r="B209" s="373" t="s">
        <v>991</v>
      </c>
      <c r="C209" s="374" t="s">
        <v>816</v>
      </c>
      <c r="D209" s="375" t="s">
        <v>995</v>
      </c>
      <c r="E209" s="375" t="s">
        <v>995</v>
      </c>
      <c r="F209" s="383">
        <f>7+20/60+45/3600</f>
        <v>7.3458333333333332</v>
      </c>
      <c r="G209" s="383">
        <f>134+29/60+18/3600</f>
        <v>134.48833333333332</v>
      </c>
      <c r="H209" s="383">
        <f>7+20/60+58/3600</f>
        <v>7.349444444444444</v>
      </c>
      <c r="I209" s="383">
        <f>134+29/60+17/3600</f>
        <v>134.48805555555555</v>
      </c>
      <c r="J209" s="375" t="s">
        <v>277</v>
      </c>
      <c r="K209" s="377" t="s">
        <v>421</v>
      </c>
      <c r="L209" s="375">
        <v>2015</v>
      </c>
      <c r="M209" s="378">
        <v>485</v>
      </c>
      <c r="N209" s="379">
        <v>5.5</v>
      </c>
      <c r="O209" s="375">
        <v>2</v>
      </c>
      <c r="P209" s="375" t="s">
        <v>83</v>
      </c>
      <c r="Q209" s="375" t="s">
        <v>275</v>
      </c>
      <c r="R209" s="375" t="s">
        <v>801</v>
      </c>
      <c r="S209" s="380" t="s">
        <v>92</v>
      </c>
      <c r="T209" s="154">
        <v>5</v>
      </c>
      <c r="U209" s="154">
        <v>4</v>
      </c>
      <c r="V209" s="154">
        <v>4</v>
      </c>
      <c r="W209" s="154">
        <v>4</v>
      </c>
      <c r="X209" s="154" t="s">
        <v>311</v>
      </c>
      <c r="Y209" s="154">
        <v>5</v>
      </c>
      <c r="Z209" s="154">
        <f t="shared" si="85"/>
        <v>92</v>
      </c>
      <c r="AA209" s="405">
        <f t="shared" si="68"/>
        <v>242500</v>
      </c>
      <c r="AB209" s="405">
        <f t="shared" si="69"/>
        <v>145500</v>
      </c>
      <c r="AC209" s="407">
        <f t="shared" si="70"/>
        <v>2200</v>
      </c>
      <c r="AD209" s="343"/>
      <c r="AE209" s="343"/>
      <c r="AF209" s="343"/>
      <c r="AG209" s="343"/>
      <c r="AH209" s="381"/>
      <c r="AI209" s="381"/>
      <c r="AJ209" s="381"/>
      <c r="AK209" s="381"/>
      <c r="AW209" s="217">
        <f t="shared" si="71"/>
        <v>5</v>
      </c>
      <c r="AX209" s="217">
        <f t="shared" si="72"/>
        <v>4</v>
      </c>
      <c r="AY209" s="217">
        <f t="shared" si="73"/>
        <v>4</v>
      </c>
      <c r="AZ209" s="217">
        <f t="shared" si="74"/>
        <v>4</v>
      </c>
      <c r="BA209" s="217">
        <f t="shared" si="75"/>
        <v>0</v>
      </c>
      <c r="BB209" s="217">
        <f t="shared" si="76"/>
        <v>5</v>
      </c>
      <c r="BC209" s="217">
        <f t="shared" si="77"/>
        <v>64</v>
      </c>
      <c r="BD209" s="217"/>
      <c r="BE209" s="217">
        <f t="shared" si="78"/>
        <v>5</v>
      </c>
      <c r="BF209" s="217">
        <f t="shared" si="79"/>
        <v>5</v>
      </c>
      <c r="BG209" s="217">
        <f t="shared" si="80"/>
        <v>5</v>
      </c>
      <c r="BH209" s="217">
        <f t="shared" si="81"/>
        <v>5</v>
      </c>
      <c r="BI209" s="217">
        <f t="shared" si="82"/>
        <v>0</v>
      </c>
      <c r="BJ209" s="217">
        <f t="shared" si="83"/>
        <v>5</v>
      </c>
      <c r="BK209" s="217">
        <f t="shared" si="84"/>
        <v>70</v>
      </c>
    </row>
    <row r="210" spans="2:131" s="390" customFormat="1" ht="30" customHeight="1" x14ac:dyDescent="0.35">
      <c r="B210" s="373" t="s">
        <v>992</v>
      </c>
      <c r="C210" s="374" t="s">
        <v>996</v>
      </c>
      <c r="D210" s="375" t="s">
        <v>995</v>
      </c>
      <c r="E210" s="375" t="s">
        <v>995</v>
      </c>
      <c r="F210" s="375">
        <f>7+20.91505/60</f>
        <v>7.3485841666666669</v>
      </c>
      <c r="G210" s="375">
        <f>134+29.67682/60</f>
        <v>134.49461366666668</v>
      </c>
      <c r="H210" s="375">
        <f>7+20.9499/60</f>
        <v>7.3491650000000002</v>
      </c>
      <c r="I210" s="375">
        <f>134+29.18976/60</f>
        <v>134.48649599999999</v>
      </c>
      <c r="J210" s="375" t="s">
        <v>97</v>
      </c>
      <c r="K210" s="377">
        <v>2016</v>
      </c>
      <c r="L210" s="375" t="s">
        <v>311</v>
      </c>
      <c r="M210" s="378">
        <v>954</v>
      </c>
      <c r="N210" s="375">
        <v>4.9000000000000004</v>
      </c>
      <c r="O210" s="375">
        <v>2</v>
      </c>
      <c r="P210" s="375" t="s">
        <v>272</v>
      </c>
      <c r="Q210" s="375" t="s">
        <v>275</v>
      </c>
      <c r="R210" s="375" t="s">
        <v>801</v>
      </c>
      <c r="S210" s="380" t="s">
        <v>92</v>
      </c>
      <c r="T210" s="154">
        <v>5</v>
      </c>
      <c r="U210" s="154">
        <v>4</v>
      </c>
      <c r="V210" s="154">
        <v>4</v>
      </c>
      <c r="W210" s="154">
        <v>4</v>
      </c>
      <c r="X210" s="154" t="s">
        <v>311</v>
      </c>
      <c r="Y210" s="154">
        <v>5</v>
      </c>
      <c r="Z210" s="154">
        <f t="shared" si="85"/>
        <v>92</v>
      </c>
      <c r="AA210" s="405">
        <f t="shared" si="68"/>
        <v>477000</v>
      </c>
      <c r="AB210" s="405">
        <f t="shared" si="69"/>
        <v>286200</v>
      </c>
      <c r="AC210" s="407">
        <f t="shared" si="70"/>
        <v>4300</v>
      </c>
      <c r="AD210" s="343"/>
      <c r="AE210" s="343"/>
      <c r="AF210" s="343"/>
      <c r="AG210" s="343"/>
      <c r="AH210" s="381"/>
      <c r="AI210" s="381"/>
      <c r="AJ210" s="381"/>
      <c r="AK210" s="381"/>
      <c r="AL210" s="389"/>
      <c r="AM210" s="389"/>
      <c r="AN210" s="389"/>
      <c r="AO210" s="389"/>
      <c r="AP210" s="389"/>
      <c r="AQ210" s="389"/>
      <c r="AR210" s="389"/>
      <c r="AS210" s="389"/>
      <c r="AT210" s="389"/>
      <c r="AU210" s="389"/>
      <c r="AV210" s="389"/>
      <c r="AW210" s="217">
        <f t="shared" si="71"/>
        <v>5</v>
      </c>
      <c r="AX210" s="217">
        <f t="shared" si="72"/>
        <v>4</v>
      </c>
      <c r="AY210" s="217">
        <f t="shared" si="73"/>
        <v>4</v>
      </c>
      <c r="AZ210" s="217">
        <f t="shared" si="74"/>
        <v>4</v>
      </c>
      <c r="BA210" s="217">
        <f t="shared" si="75"/>
        <v>0</v>
      </c>
      <c r="BB210" s="217">
        <f t="shared" si="76"/>
        <v>5</v>
      </c>
      <c r="BC210" s="217">
        <f t="shared" si="77"/>
        <v>64</v>
      </c>
      <c r="BD210" s="217"/>
      <c r="BE210" s="217">
        <f t="shared" si="78"/>
        <v>5</v>
      </c>
      <c r="BF210" s="217">
        <f t="shared" si="79"/>
        <v>5</v>
      </c>
      <c r="BG210" s="217">
        <f t="shared" si="80"/>
        <v>5</v>
      </c>
      <c r="BH210" s="217">
        <f t="shared" si="81"/>
        <v>5</v>
      </c>
      <c r="BI210" s="217">
        <f t="shared" si="82"/>
        <v>0</v>
      </c>
      <c r="BJ210" s="217">
        <f t="shared" si="83"/>
        <v>5</v>
      </c>
      <c r="BK210" s="217">
        <f t="shared" si="84"/>
        <v>70</v>
      </c>
      <c r="BL210" s="389"/>
      <c r="BM210" s="389"/>
      <c r="BN210" s="389"/>
      <c r="BO210" s="389"/>
      <c r="BP210" s="389"/>
      <c r="BQ210" s="389"/>
      <c r="BR210" s="389"/>
      <c r="BS210" s="389"/>
      <c r="BT210" s="389"/>
      <c r="BU210" s="389"/>
      <c r="BV210" s="389"/>
      <c r="BW210" s="389"/>
      <c r="BX210" s="389"/>
      <c r="BY210" s="389"/>
      <c r="BZ210" s="389"/>
      <c r="CA210" s="389"/>
      <c r="CB210" s="389"/>
      <c r="CC210" s="389"/>
      <c r="CD210" s="389"/>
      <c r="CE210" s="389"/>
      <c r="CF210" s="389"/>
      <c r="CG210" s="389"/>
      <c r="CH210" s="389"/>
      <c r="CI210" s="389"/>
      <c r="CJ210" s="389"/>
      <c r="CK210" s="389"/>
      <c r="CL210" s="389"/>
      <c r="CM210" s="389"/>
      <c r="CN210" s="389"/>
      <c r="CO210" s="389"/>
      <c r="CP210" s="389"/>
      <c r="CQ210" s="389"/>
      <c r="CR210" s="389"/>
      <c r="CS210" s="389"/>
      <c r="CT210" s="389"/>
      <c r="CU210" s="389"/>
      <c r="CV210" s="389"/>
      <c r="CW210" s="389"/>
      <c r="CX210" s="389"/>
      <c r="CY210" s="389"/>
      <c r="CZ210" s="389"/>
      <c r="DA210" s="389"/>
      <c r="DB210" s="389"/>
      <c r="DC210" s="389"/>
      <c r="DD210" s="389"/>
      <c r="DE210" s="389"/>
      <c r="DF210" s="389"/>
      <c r="DG210" s="389"/>
      <c r="DH210" s="389"/>
      <c r="DI210" s="389"/>
      <c r="DJ210" s="389"/>
      <c r="DK210" s="389"/>
      <c r="DL210" s="389"/>
      <c r="DM210" s="389"/>
      <c r="DN210" s="389"/>
      <c r="DO210" s="389"/>
      <c r="DP210" s="389"/>
      <c r="DQ210" s="389"/>
      <c r="DR210" s="389"/>
      <c r="DS210" s="389"/>
      <c r="DT210" s="389"/>
      <c r="DU210" s="389"/>
      <c r="DV210" s="389"/>
      <c r="DW210" s="389"/>
      <c r="DX210" s="389"/>
      <c r="DY210" s="389"/>
      <c r="DZ210" s="389"/>
      <c r="EA210" s="389"/>
    </row>
    <row r="211" spans="2:131" s="390" customFormat="1" ht="30" customHeight="1" x14ac:dyDescent="0.35">
      <c r="B211" s="373" t="s">
        <v>993</v>
      </c>
      <c r="C211" s="374" t="s">
        <v>958</v>
      </c>
      <c r="D211" s="375" t="s">
        <v>995</v>
      </c>
      <c r="E211" s="375" t="s">
        <v>995</v>
      </c>
      <c r="F211" s="375">
        <f>7+21.0549/60</f>
        <v>7.3509149999999996</v>
      </c>
      <c r="G211" s="375">
        <f>134+29.63196/60</f>
        <v>134.493866</v>
      </c>
      <c r="H211" s="375">
        <f>7+20.92355/60</f>
        <v>7.348725833333333</v>
      </c>
      <c r="I211" s="375">
        <f>134+29.57611/60</f>
        <v>134.49293516666665</v>
      </c>
      <c r="J211" s="375" t="s">
        <v>97</v>
      </c>
      <c r="K211" s="377">
        <v>2016</v>
      </c>
      <c r="L211" s="375" t="s">
        <v>311</v>
      </c>
      <c r="M211" s="378">
        <v>407</v>
      </c>
      <c r="N211" s="375">
        <v>4.9000000000000004</v>
      </c>
      <c r="O211" s="375">
        <v>2</v>
      </c>
      <c r="P211" s="375" t="s">
        <v>83</v>
      </c>
      <c r="Q211" s="375" t="s">
        <v>275</v>
      </c>
      <c r="R211" s="375" t="s">
        <v>801</v>
      </c>
      <c r="S211" s="380" t="s">
        <v>92</v>
      </c>
      <c r="T211" s="154">
        <v>5</v>
      </c>
      <c r="U211" s="154">
        <v>4</v>
      </c>
      <c r="V211" s="154">
        <v>4</v>
      </c>
      <c r="W211" s="154">
        <v>3</v>
      </c>
      <c r="X211" s="154" t="s">
        <v>311</v>
      </c>
      <c r="Y211" s="154">
        <v>5</v>
      </c>
      <c r="Z211" s="154">
        <f t="shared" si="85"/>
        <v>90</v>
      </c>
      <c r="AA211" s="405">
        <f t="shared" si="68"/>
        <v>203500</v>
      </c>
      <c r="AB211" s="405">
        <f t="shared" si="69"/>
        <v>122100</v>
      </c>
      <c r="AC211" s="407">
        <f t="shared" si="70"/>
        <v>1800</v>
      </c>
      <c r="AD211" s="343"/>
      <c r="AE211" s="343"/>
      <c r="AF211" s="343"/>
      <c r="AG211" s="343"/>
      <c r="AH211" s="381"/>
      <c r="AI211" s="381"/>
      <c r="AJ211" s="381"/>
      <c r="AK211" s="381"/>
      <c r="AL211" s="389"/>
      <c r="AM211" s="389"/>
      <c r="AN211" s="389"/>
      <c r="AO211" s="389"/>
      <c r="AP211" s="389"/>
      <c r="AQ211" s="389"/>
      <c r="AR211" s="389"/>
      <c r="AS211" s="389"/>
      <c r="AT211" s="389"/>
      <c r="AU211" s="389"/>
      <c r="AV211" s="389"/>
      <c r="AW211" s="217">
        <f t="shared" si="71"/>
        <v>5</v>
      </c>
      <c r="AX211" s="217">
        <f t="shared" si="72"/>
        <v>4</v>
      </c>
      <c r="AY211" s="217">
        <f t="shared" si="73"/>
        <v>4</v>
      </c>
      <c r="AZ211" s="217">
        <f t="shared" si="74"/>
        <v>3</v>
      </c>
      <c r="BA211" s="217">
        <f t="shared" si="75"/>
        <v>0</v>
      </c>
      <c r="BB211" s="217">
        <f t="shared" si="76"/>
        <v>5</v>
      </c>
      <c r="BC211" s="217">
        <f t="shared" si="77"/>
        <v>63</v>
      </c>
      <c r="BD211" s="217"/>
      <c r="BE211" s="217">
        <f t="shared" si="78"/>
        <v>5</v>
      </c>
      <c r="BF211" s="217">
        <f t="shared" si="79"/>
        <v>5</v>
      </c>
      <c r="BG211" s="217">
        <f t="shared" si="80"/>
        <v>5</v>
      </c>
      <c r="BH211" s="217">
        <f t="shared" si="81"/>
        <v>5</v>
      </c>
      <c r="BI211" s="217">
        <f t="shared" si="82"/>
        <v>0</v>
      </c>
      <c r="BJ211" s="217">
        <f t="shared" si="83"/>
        <v>5</v>
      </c>
      <c r="BK211" s="217">
        <f t="shared" si="84"/>
        <v>70</v>
      </c>
      <c r="BL211" s="389"/>
      <c r="BM211" s="389"/>
      <c r="BN211" s="389"/>
      <c r="BO211" s="389"/>
      <c r="BP211" s="389"/>
      <c r="BQ211" s="389"/>
      <c r="BR211" s="389"/>
      <c r="BS211" s="389"/>
      <c r="BT211" s="389"/>
      <c r="BU211" s="389"/>
      <c r="BV211" s="389"/>
      <c r="BW211" s="389"/>
      <c r="BX211" s="389"/>
      <c r="BY211" s="389"/>
      <c r="BZ211" s="389"/>
      <c r="CA211" s="389"/>
      <c r="CB211" s="389"/>
      <c r="CC211" s="389"/>
      <c r="CD211" s="389"/>
      <c r="CE211" s="389"/>
      <c r="CF211" s="389"/>
      <c r="CG211" s="389"/>
      <c r="CH211" s="389"/>
      <c r="CI211" s="389"/>
      <c r="CJ211" s="389"/>
      <c r="CK211" s="389"/>
      <c r="CL211" s="389"/>
      <c r="CM211" s="389"/>
      <c r="CN211" s="389"/>
      <c r="CO211" s="389"/>
      <c r="CP211" s="389"/>
      <c r="CQ211" s="389"/>
      <c r="CR211" s="389"/>
      <c r="CS211" s="389"/>
      <c r="CT211" s="389"/>
      <c r="CU211" s="389"/>
      <c r="CV211" s="389"/>
      <c r="CW211" s="389"/>
      <c r="CX211" s="389"/>
      <c r="CY211" s="389"/>
      <c r="CZ211" s="389"/>
      <c r="DA211" s="389"/>
      <c r="DB211" s="389"/>
      <c r="DC211" s="389"/>
      <c r="DD211" s="389"/>
      <c r="DE211" s="389"/>
      <c r="DF211" s="389"/>
      <c r="DG211" s="389"/>
      <c r="DH211" s="389"/>
      <c r="DI211" s="389"/>
      <c r="DJ211" s="389"/>
      <c r="DK211" s="389"/>
      <c r="DL211" s="389"/>
      <c r="DM211" s="389"/>
      <c r="DN211" s="389"/>
      <c r="DO211" s="389"/>
      <c r="DP211" s="389"/>
      <c r="DQ211" s="389"/>
      <c r="DR211" s="389"/>
      <c r="DS211" s="389"/>
      <c r="DT211" s="389"/>
      <c r="DU211" s="389"/>
      <c r="DV211" s="389"/>
      <c r="DW211" s="389"/>
      <c r="DX211" s="389"/>
      <c r="DY211" s="389"/>
      <c r="DZ211" s="389"/>
      <c r="EA211" s="389"/>
    </row>
    <row r="212" spans="2:131" s="390" customFormat="1" ht="30" customHeight="1" x14ac:dyDescent="0.35">
      <c r="B212" s="373" t="s">
        <v>997</v>
      </c>
      <c r="C212" s="391" t="s">
        <v>1105</v>
      </c>
      <c r="D212" s="375" t="s">
        <v>1096</v>
      </c>
      <c r="E212" s="375" t="s">
        <v>1096</v>
      </c>
      <c r="F212" s="375">
        <f>7+20.8031/60</f>
        <v>7.3467183333333335</v>
      </c>
      <c r="G212" s="375">
        <f>134+29.33441/60</f>
        <v>134.48890683333335</v>
      </c>
      <c r="H212" s="375">
        <f>7+20.81946/60</f>
        <v>7.346991</v>
      </c>
      <c r="I212" s="375">
        <f>134+29.47357/60</f>
        <v>134.49122616666668</v>
      </c>
      <c r="J212" s="375" t="s">
        <v>97</v>
      </c>
      <c r="K212" s="375" t="s">
        <v>502</v>
      </c>
      <c r="L212" s="375" t="s">
        <v>311</v>
      </c>
      <c r="M212" s="378">
        <v>288</v>
      </c>
      <c r="N212" s="375">
        <v>4.9000000000000004</v>
      </c>
      <c r="O212" s="375">
        <v>2</v>
      </c>
      <c r="P212" s="375" t="s">
        <v>272</v>
      </c>
      <c r="Q212" s="375" t="s">
        <v>275</v>
      </c>
      <c r="R212" s="375" t="s">
        <v>1113</v>
      </c>
      <c r="S212" s="380" t="s">
        <v>92</v>
      </c>
      <c r="T212" s="154">
        <v>3</v>
      </c>
      <c r="U212" s="154">
        <v>2</v>
      </c>
      <c r="V212" s="154">
        <v>2</v>
      </c>
      <c r="W212" s="154">
        <v>3</v>
      </c>
      <c r="X212" s="154" t="s">
        <v>311</v>
      </c>
      <c r="Y212" s="154">
        <v>3</v>
      </c>
      <c r="Z212" s="154">
        <f t="shared" si="85"/>
        <v>53</v>
      </c>
      <c r="AA212" s="405">
        <f t="shared" si="68"/>
        <v>144000</v>
      </c>
      <c r="AB212" s="405">
        <f t="shared" si="69"/>
        <v>86400</v>
      </c>
      <c r="AC212" s="407">
        <f t="shared" si="70"/>
        <v>1300</v>
      </c>
      <c r="AD212" s="343"/>
      <c r="AE212" s="343"/>
      <c r="AF212" s="343"/>
      <c r="AG212" s="343"/>
      <c r="AH212" s="381"/>
      <c r="AI212" s="381">
        <f t="shared" ref="AI212:AI269" si="86">$M212*U$2</f>
        <v>86400</v>
      </c>
      <c r="AJ212" s="381">
        <f t="shared" ref="AJ212:AJ253" si="87">$M212*V$2</f>
        <v>28800</v>
      </c>
      <c r="AK212" s="381"/>
      <c r="AL212" s="389"/>
      <c r="AM212" s="389"/>
      <c r="AN212" s="389"/>
      <c r="AO212" s="389"/>
      <c r="AP212" s="389"/>
      <c r="AQ212" s="389"/>
      <c r="AR212" s="389"/>
      <c r="AS212" s="389"/>
      <c r="AT212" s="389"/>
      <c r="AU212" s="389"/>
      <c r="AV212" s="389"/>
      <c r="AW212" s="217">
        <f t="shared" si="71"/>
        <v>3</v>
      </c>
      <c r="AX212" s="217">
        <f t="shared" si="72"/>
        <v>2</v>
      </c>
      <c r="AY212" s="217">
        <f t="shared" si="73"/>
        <v>2</v>
      </c>
      <c r="AZ212" s="217">
        <f t="shared" si="74"/>
        <v>3</v>
      </c>
      <c r="BA212" s="217">
        <f t="shared" si="75"/>
        <v>0</v>
      </c>
      <c r="BB212" s="217">
        <f t="shared" si="76"/>
        <v>3</v>
      </c>
      <c r="BC212" s="217">
        <f t="shared" si="77"/>
        <v>37</v>
      </c>
      <c r="BD212" s="217"/>
      <c r="BE212" s="217">
        <f t="shared" si="78"/>
        <v>5</v>
      </c>
      <c r="BF212" s="217">
        <f t="shared" si="79"/>
        <v>5</v>
      </c>
      <c r="BG212" s="217">
        <f t="shared" si="80"/>
        <v>5</v>
      </c>
      <c r="BH212" s="217">
        <f t="shared" si="81"/>
        <v>5</v>
      </c>
      <c r="BI212" s="217">
        <f t="shared" si="82"/>
        <v>0</v>
      </c>
      <c r="BJ212" s="217">
        <f t="shared" si="83"/>
        <v>5</v>
      </c>
      <c r="BK212" s="217">
        <f t="shared" si="84"/>
        <v>70</v>
      </c>
      <c r="BL212" s="389"/>
      <c r="BM212" s="389"/>
      <c r="BN212" s="389"/>
      <c r="BO212" s="389"/>
      <c r="BP212" s="389"/>
      <c r="BQ212" s="389"/>
      <c r="BR212" s="389"/>
      <c r="BS212" s="389"/>
      <c r="BT212" s="389"/>
      <c r="BU212" s="389"/>
      <c r="BV212" s="389"/>
      <c r="BW212" s="389"/>
      <c r="BX212" s="389"/>
      <c r="BY212" s="389"/>
      <c r="BZ212" s="389"/>
      <c r="CA212" s="389"/>
      <c r="CB212" s="389"/>
      <c r="CC212" s="389"/>
      <c r="CD212" s="389"/>
      <c r="CE212" s="389"/>
      <c r="CF212" s="389"/>
      <c r="CG212" s="389"/>
      <c r="CH212" s="389"/>
      <c r="CI212" s="389"/>
      <c r="CJ212" s="389"/>
      <c r="CK212" s="389"/>
      <c r="CL212" s="389"/>
      <c r="CM212" s="389"/>
      <c r="CN212" s="389"/>
      <c r="CO212" s="389"/>
      <c r="CP212" s="389"/>
      <c r="CQ212" s="389"/>
      <c r="CR212" s="389"/>
      <c r="CS212" s="389"/>
      <c r="CT212" s="389"/>
      <c r="CU212" s="389"/>
      <c r="CV212" s="389"/>
      <c r="CW212" s="389"/>
      <c r="CX212" s="389"/>
      <c r="CY212" s="389"/>
      <c r="CZ212" s="389"/>
      <c r="DA212" s="389"/>
      <c r="DB212" s="389"/>
      <c r="DC212" s="389"/>
      <c r="DD212" s="389"/>
      <c r="DE212" s="389"/>
      <c r="DF212" s="389"/>
      <c r="DG212" s="389"/>
      <c r="DH212" s="389"/>
      <c r="DI212" s="389"/>
      <c r="DJ212" s="389"/>
      <c r="DK212" s="389"/>
      <c r="DL212" s="389"/>
      <c r="DM212" s="389"/>
      <c r="DN212" s="389"/>
      <c r="DO212" s="389"/>
      <c r="DP212" s="389"/>
      <c r="DQ212" s="389"/>
      <c r="DR212" s="389"/>
      <c r="DS212" s="389"/>
      <c r="DT212" s="389"/>
      <c r="DU212" s="389"/>
      <c r="DV212" s="389"/>
      <c r="DW212" s="389"/>
      <c r="DX212" s="389"/>
      <c r="DY212" s="389"/>
      <c r="DZ212" s="389"/>
      <c r="EA212" s="389"/>
    </row>
    <row r="213" spans="2:131" s="390" customFormat="1" ht="30" customHeight="1" x14ac:dyDescent="0.35">
      <c r="B213" s="373" t="s">
        <v>998</v>
      </c>
      <c r="C213" s="391" t="s">
        <v>1106</v>
      </c>
      <c r="D213" s="375" t="s">
        <v>1096</v>
      </c>
      <c r="E213" s="375" t="s">
        <v>1096</v>
      </c>
      <c r="F213" s="375">
        <f>7+20.74811/60</f>
        <v>7.3458018333333337</v>
      </c>
      <c r="G213" s="375">
        <f>134+29.41589/60</f>
        <v>134.49026483333333</v>
      </c>
      <c r="H213" s="375">
        <f>7+20.80627/60</f>
        <v>7.3467711666666666</v>
      </c>
      <c r="I213" s="375">
        <f>134+29.30603/60</f>
        <v>134.48843383333335</v>
      </c>
      <c r="J213" s="375" t="s">
        <v>97</v>
      </c>
      <c r="K213" s="375" t="s">
        <v>502</v>
      </c>
      <c r="L213" s="375" t="s">
        <v>311</v>
      </c>
      <c r="M213" s="378">
        <v>254</v>
      </c>
      <c r="N213" s="375">
        <v>4.9000000000000004</v>
      </c>
      <c r="O213" s="375">
        <v>2</v>
      </c>
      <c r="P213" s="375" t="s">
        <v>272</v>
      </c>
      <c r="Q213" s="375" t="s">
        <v>275</v>
      </c>
      <c r="R213" s="375" t="s">
        <v>1113</v>
      </c>
      <c r="S213" s="380" t="s">
        <v>92</v>
      </c>
      <c r="T213" s="154">
        <v>3</v>
      </c>
      <c r="U213" s="154">
        <v>2</v>
      </c>
      <c r="V213" s="154">
        <v>3</v>
      </c>
      <c r="W213" s="154">
        <v>3</v>
      </c>
      <c r="X213" s="154" t="s">
        <v>311</v>
      </c>
      <c r="Y213" s="154">
        <v>4</v>
      </c>
      <c r="Z213" s="154">
        <f t="shared" si="85"/>
        <v>60</v>
      </c>
      <c r="AA213" s="405">
        <f t="shared" si="68"/>
        <v>127000</v>
      </c>
      <c r="AB213" s="405">
        <f t="shared" si="69"/>
        <v>76200</v>
      </c>
      <c r="AC213" s="407">
        <f t="shared" si="70"/>
        <v>1100</v>
      </c>
      <c r="AD213" s="343"/>
      <c r="AE213" s="343"/>
      <c r="AF213" s="343"/>
      <c r="AG213" s="343"/>
      <c r="AH213" s="381"/>
      <c r="AI213" s="381">
        <f t="shared" si="86"/>
        <v>76200</v>
      </c>
      <c r="AJ213" s="381"/>
      <c r="AK213" s="381"/>
      <c r="AL213" s="389"/>
      <c r="AM213" s="389"/>
      <c r="AN213" s="389"/>
      <c r="AO213" s="389"/>
      <c r="AP213" s="389"/>
      <c r="AQ213" s="389"/>
      <c r="AR213" s="389"/>
      <c r="AS213" s="389"/>
      <c r="AT213" s="389"/>
      <c r="AU213" s="389"/>
      <c r="AV213" s="389"/>
      <c r="AW213" s="217">
        <f t="shared" si="71"/>
        <v>3</v>
      </c>
      <c r="AX213" s="217">
        <f t="shared" si="72"/>
        <v>2</v>
      </c>
      <c r="AY213" s="217">
        <f t="shared" si="73"/>
        <v>3</v>
      </c>
      <c r="AZ213" s="217">
        <f t="shared" si="74"/>
        <v>3</v>
      </c>
      <c r="BA213" s="217">
        <f t="shared" si="75"/>
        <v>0</v>
      </c>
      <c r="BB213" s="217">
        <f t="shared" si="76"/>
        <v>4</v>
      </c>
      <c r="BC213" s="217">
        <f t="shared" si="77"/>
        <v>42</v>
      </c>
      <c r="BD213" s="217"/>
      <c r="BE213" s="217">
        <f t="shared" si="78"/>
        <v>5</v>
      </c>
      <c r="BF213" s="217">
        <f t="shared" si="79"/>
        <v>5</v>
      </c>
      <c r="BG213" s="217">
        <f t="shared" si="80"/>
        <v>5</v>
      </c>
      <c r="BH213" s="217">
        <f t="shared" si="81"/>
        <v>5</v>
      </c>
      <c r="BI213" s="217">
        <f t="shared" si="82"/>
        <v>0</v>
      </c>
      <c r="BJ213" s="217">
        <f t="shared" si="83"/>
        <v>5</v>
      </c>
      <c r="BK213" s="217">
        <f t="shared" si="84"/>
        <v>70</v>
      </c>
      <c r="BL213" s="389"/>
      <c r="BM213" s="389"/>
      <c r="BN213" s="389"/>
      <c r="BO213" s="389"/>
      <c r="BP213" s="389"/>
      <c r="BQ213" s="389"/>
      <c r="BR213" s="389"/>
      <c r="BS213" s="389"/>
      <c r="BT213" s="389"/>
      <c r="BU213" s="389"/>
      <c r="BV213" s="389"/>
      <c r="BW213" s="389"/>
      <c r="BX213" s="389"/>
      <c r="BY213" s="389"/>
      <c r="BZ213" s="389"/>
      <c r="CA213" s="389"/>
      <c r="CB213" s="389"/>
      <c r="CC213" s="389"/>
      <c r="CD213" s="389"/>
      <c r="CE213" s="389"/>
      <c r="CF213" s="389"/>
      <c r="CG213" s="389"/>
      <c r="CH213" s="389"/>
      <c r="CI213" s="389"/>
      <c r="CJ213" s="389"/>
      <c r="CK213" s="389"/>
      <c r="CL213" s="389"/>
      <c r="CM213" s="389"/>
      <c r="CN213" s="389"/>
      <c r="CO213" s="389"/>
      <c r="CP213" s="389"/>
      <c r="CQ213" s="389"/>
      <c r="CR213" s="389"/>
      <c r="CS213" s="389"/>
      <c r="CT213" s="389"/>
      <c r="CU213" s="389"/>
      <c r="CV213" s="389"/>
      <c r="CW213" s="389"/>
      <c r="CX213" s="389"/>
      <c r="CY213" s="389"/>
      <c r="CZ213" s="389"/>
      <c r="DA213" s="389"/>
      <c r="DB213" s="389"/>
      <c r="DC213" s="389"/>
      <c r="DD213" s="389"/>
      <c r="DE213" s="389"/>
      <c r="DF213" s="389"/>
      <c r="DG213" s="389"/>
      <c r="DH213" s="389"/>
      <c r="DI213" s="389"/>
      <c r="DJ213" s="389"/>
      <c r="DK213" s="389"/>
      <c r="DL213" s="389"/>
      <c r="DM213" s="389"/>
      <c r="DN213" s="389"/>
      <c r="DO213" s="389"/>
      <c r="DP213" s="389"/>
      <c r="DQ213" s="389"/>
      <c r="DR213" s="389"/>
      <c r="DS213" s="389"/>
      <c r="DT213" s="389"/>
      <c r="DU213" s="389"/>
      <c r="DV213" s="389"/>
      <c r="DW213" s="389"/>
      <c r="DX213" s="389"/>
      <c r="DY213" s="389"/>
      <c r="DZ213" s="389"/>
      <c r="EA213" s="389"/>
    </row>
    <row r="214" spans="2:131" s="390" customFormat="1" ht="30" customHeight="1" x14ac:dyDescent="0.35">
      <c r="B214" s="373" t="s">
        <v>999</v>
      </c>
      <c r="C214" s="374" t="s">
        <v>1097</v>
      </c>
      <c r="D214" s="375" t="s">
        <v>1096</v>
      </c>
      <c r="E214" s="375" t="s">
        <v>1096</v>
      </c>
      <c r="F214" s="375">
        <f>7+20.80539/60</f>
        <v>7.3467564999999997</v>
      </c>
      <c r="G214" s="375">
        <f>134+29.30237/60</f>
        <v>134.48837283333333</v>
      </c>
      <c r="H214" s="375">
        <f>7+20.7734/60</f>
        <v>7.3462233333333335</v>
      </c>
      <c r="I214" s="375">
        <f>134+29.23828/60</f>
        <v>134.48730466666666</v>
      </c>
      <c r="J214" s="375" t="s">
        <v>97</v>
      </c>
      <c r="K214" s="375" t="s">
        <v>502</v>
      </c>
      <c r="L214" s="375" t="s">
        <v>311</v>
      </c>
      <c r="M214" s="378">
        <v>165</v>
      </c>
      <c r="N214" s="375">
        <v>4.9000000000000004</v>
      </c>
      <c r="O214" s="375">
        <v>2</v>
      </c>
      <c r="P214" s="375" t="s">
        <v>83</v>
      </c>
      <c r="Q214" s="375" t="s">
        <v>275</v>
      </c>
      <c r="R214" s="375" t="s">
        <v>1129</v>
      </c>
      <c r="S214" s="380" t="s">
        <v>92</v>
      </c>
      <c r="T214" s="154">
        <v>4</v>
      </c>
      <c r="U214" s="154">
        <v>3</v>
      </c>
      <c r="V214" s="154">
        <v>2</v>
      </c>
      <c r="W214" s="154">
        <v>3</v>
      </c>
      <c r="X214" s="154" t="s">
        <v>311</v>
      </c>
      <c r="Y214" s="154">
        <v>4</v>
      </c>
      <c r="Z214" s="154">
        <f t="shared" si="85"/>
        <v>70</v>
      </c>
      <c r="AA214" s="405">
        <f t="shared" si="68"/>
        <v>82500</v>
      </c>
      <c r="AB214" s="405">
        <f t="shared" si="69"/>
        <v>49500</v>
      </c>
      <c r="AC214" s="407">
        <f t="shared" si="70"/>
        <v>700</v>
      </c>
      <c r="AD214" s="343"/>
      <c r="AE214" s="343"/>
      <c r="AF214" s="343"/>
      <c r="AG214" s="343"/>
      <c r="AH214" s="381"/>
      <c r="AI214" s="381"/>
      <c r="AJ214" s="381">
        <f t="shared" si="87"/>
        <v>16500</v>
      </c>
      <c r="AK214" s="381"/>
      <c r="AL214" s="389"/>
      <c r="AM214" s="389"/>
      <c r="AN214" s="389"/>
      <c r="AO214" s="389"/>
      <c r="AP214" s="389"/>
      <c r="AQ214" s="389"/>
      <c r="AR214" s="389"/>
      <c r="AS214" s="389"/>
      <c r="AT214" s="389"/>
      <c r="AU214" s="389"/>
      <c r="AV214" s="389"/>
      <c r="AW214" s="217">
        <f t="shared" si="71"/>
        <v>4</v>
      </c>
      <c r="AX214" s="217">
        <f t="shared" si="72"/>
        <v>3</v>
      </c>
      <c r="AY214" s="217">
        <f t="shared" si="73"/>
        <v>2</v>
      </c>
      <c r="AZ214" s="217">
        <f t="shared" si="74"/>
        <v>3</v>
      </c>
      <c r="BA214" s="217">
        <f t="shared" si="75"/>
        <v>0</v>
      </c>
      <c r="BB214" s="217">
        <f t="shared" si="76"/>
        <v>4</v>
      </c>
      <c r="BC214" s="217">
        <f t="shared" si="77"/>
        <v>49</v>
      </c>
      <c r="BD214" s="217"/>
      <c r="BE214" s="217">
        <f t="shared" si="78"/>
        <v>5</v>
      </c>
      <c r="BF214" s="217">
        <f t="shared" si="79"/>
        <v>5</v>
      </c>
      <c r="BG214" s="217">
        <f t="shared" si="80"/>
        <v>5</v>
      </c>
      <c r="BH214" s="217">
        <f t="shared" si="81"/>
        <v>5</v>
      </c>
      <c r="BI214" s="217">
        <f t="shared" si="82"/>
        <v>0</v>
      </c>
      <c r="BJ214" s="217">
        <f t="shared" si="83"/>
        <v>5</v>
      </c>
      <c r="BK214" s="217">
        <f t="shared" si="84"/>
        <v>70</v>
      </c>
      <c r="BL214" s="389"/>
      <c r="BM214" s="389"/>
      <c r="BN214" s="389"/>
      <c r="BO214" s="389"/>
      <c r="BP214" s="389"/>
      <c r="BQ214" s="389"/>
      <c r="BR214" s="389"/>
      <c r="BS214" s="389"/>
      <c r="BT214" s="389"/>
      <c r="BU214" s="389"/>
      <c r="BV214" s="389"/>
      <c r="BW214" s="389"/>
      <c r="BX214" s="389"/>
      <c r="BY214" s="389"/>
      <c r="BZ214" s="389"/>
      <c r="CA214" s="389"/>
      <c r="CB214" s="389"/>
      <c r="CC214" s="389"/>
      <c r="CD214" s="389"/>
      <c r="CE214" s="389"/>
      <c r="CF214" s="389"/>
      <c r="CG214" s="389"/>
      <c r="CH214" s="389"/>
      <c r="CI214" s="389"/>
      <c r="CJ214" s="389"/>
      <c r="CK214" s="389"/>
      <c r="CL214" s="389"/>
      <c r="CM214" s="389"/>
      <c r="CN214" s="389"/>
      <c r="CO214" s="389"/>
      <c r="CP214" s="389"/>
      <c r="CQ214" s="389"/>
      <c r="CR214" s="389"/>
      <c r="CS214" s="389"/>
      <c r="CT214" s="389"/>
      <c r="CU214" s="389"/>
      <c r="CV214" s="389"/>
      <c r="CW214" s="389"/>
      <c r="CX214" s="389"/>
      <c r="CY214" s="389"/>
      <c r="CZ214" s="389"/>
      <c r="DA214" s="389"/>
      <c r="DB214" s="389"/>
      <c r="DC214" s="389"/>
      <c r="DD214" s="389"/>
      <c r="DE214" s="389"/>
      <c r="DF214" s="389"/>
      <c r="DG214" s="389"/>
      <c r="DH214" s="389"/>
      <c r="DI214" s="389"/>
      <c r="DJ214" s="389"/>
      <c r="DK214" s="389"/>
      <c r="DL214" s="389"/>
      <c r="DM214" s="389"/>
      <c r="DN214" s="389"/>
      <c r="DO214" s="389"/>
      <c r="DP214" s="389"/>
      <c r="DQ214" s="389"/>
      <c r="DR214" s="389"/>
      <c r="DS214" s="389"/>
      <c r="DT214" s="389"/>
      <c r="DU214" s="389"/>
      <c r="DV214" s="389"/>
      <c r="DW214" s="389"/>
      <c r="DX214" s="389"/>
      <c r="DY214" s="389"/>
      <c r="DZ214" s="389"/>
      <c r="EA214" s="389"/>
    </row>
    <row r="215" spans="2:131" s="390" customFormat="1" ht="30" customHeight="1" x14ac:dyDescent="0.35">
      <c r="B215" s="373" t="s">
        <v>1000</v>
      </c>
      <c r="C215" s="374" t="s">
        <v>1115</v>
      </c>
      <c r="D215" s="375" t="s">
        <v>953</v>
      </c>
      <c r="E215" s="375" t="s">
        <v>953</v>
      </c>
      <c r="F215" s="375">
        <f>7+20.74239/60</f>
        <v>7.3457065000000004</v>
      </c>
      <c r="G215" s="375">
        <f>134+29.12933/60</f>
        <v>134.48548883333333</v>
      </c>
      <c r="H215" s="375">
        <f>7+20.53782/60</f>
        <v>7.3422970000000003</v>
      </c>
      <c r="I215" s="375">
        <f>134+28.89679/60</f>
        <v>134.48161316666668</v>
      </c>
      <c r="J215" s="375" t="s">
        <v>97</v>
      </c>
      <c r="K215" s="375">
        <v>2016</v>
      </c>
      <c r="L215" s="375" t="s">
        <v>311</v>
      </c>
      <c r="M215" s="378">
        <v>643</v>
      </c>
      <c r="N215" s="375">
        <v>4.9000000000000004</v>
      </c>
      <c r="O215" s="375">
        <v>2</v>
      </c>
      <c r="P215" s="375" t="s">
        <v>272</v>
      </c>
      <c r="Q215" s="375" t="s">
        <v>275</v>
      </c>
      <c r="R215" s="375" t="s">
        <v>801</v>
      </c>
      <c r="S215" s="380" t="s">
        <v>92</v>
      </c>
      <c r="T215" s="154">
        <v>5</v>
      </c>
      <c r="U215" s="154">
        <v>4</v>
      </c>
      <c r="V215" s="154">
        <v>3</v>
      </c>
      <c r="W215" s="154">
        <v>3</v>
      </c>
      <c r="X215" s="154" t="s">
        <v>311</v>
      </c>
      <c r="Y215" s="154">
        <v>5</v>
      </c>
      <c r="Z215" s="154">
        <f t="shared" si="85"/>
        <v>89</v>
      </c>
      <c r="AA215" s="405">
        <f t="shared" si="68"/>
        <v>321500</v>
      </c>
      <c r="AB215" s="405">
        <f t="shared" si="69"/>
        <v>192900</v>
      </c>
      <c r="AC215" s="407">
        <f t="shared" si="70"/>
        <v>2900</v>
      </c>
      <c r="AD215" s="343"/>
      <c r="AE215" s="343"/>
      <c r="AF215" s="343"/>
      <c r="AG215" s="343"/>
      <c r="AH215" s="381"/>
      <c r="AI215" s="381"/>
      <c r="AJ215" s="381"/>
      <c r="AK215" s="381"/>
      <c r="AL215" s="389"/>
      <c r="AM215" s="389"/>
      <c r="AN215" s="389"/>
      <c r="AO215" s="389"/>
      <c r="AP215" s="389"/>
      <c r="AQ215" s="389"/>
      <c r="AR215" s="389"/>
      <c r="AS215" s="389"/>
      <c r="AT215" s="389"/>
      <c r="AU215" s="389"/>
      <c r="AV215" s="389"/>
      <c r="AW215" s="217">
        <f t="shared" si="71"/>
        <v>5</v>
      </c>
      <c r="AX215" s="217">
        <f t="shared" si="72"/>
        <v>4</v>
      </c>
      <c r="AY215" s="217">
        <f t="shared" si="73"/>
        <v>3</v>
      </c>
      <c r="AZ215" s="217">
        <f t="shared" si="74"/>
        <v>3</v>
      </c>
      <c r="BA215" s="217">
        <f t="shared" si="75"/>
        <v>0</v>
      </c>
      <c r="BB215" s="217">
        <f t="shared" si="76"/>
        <v>5</v>
      </c>
      <c r="BC215" s="217">
        <f t="shared" si="77"/>
        <v>62</v>
      </c>
      <c r="BD215" s="217"/>
      <c r="BE215" s="217">
        <f t="shared" si="78"/>
        <v>5</v>
      </c>
      <c r="BF215" s="217">
        <f t="shared" si="79"/>
        <v>5</v>
      </c>
      <c r="BG215" s="217">
        <f t="shared" si="80"/>
        <v>5</v>
      </c>
      <c r="BH215" s="217">
        <f t="shared" si="81"/>
        <v>5</v>
      </c>
      <c r="BI215" s="217">
        <f t="shared" si="82"/>
        <v>0</v>
      </c>
      <c r="BJ215" s="217">
        <f t="shared" si="83"/>
        <v>5</v>
      </c>
      <c r="BK215" s="217">
        <f t="shared" si="84"/>
        <v>70</v>
      </c>
      <c r="BL215" s="389"/>
      <c r="BM215" s="389"/>
      <c r="BN215" s="389"/>
      <c r="BO215" s="389"/>
      <c r="BP215" s="389"/>
      <c r="BQ215" s="389"/>
      <c r="BR215" s="389"/>
      <c r="BS215" s="389"/>
      <c r="BT215" s="389"/>
      <c r="BU215" s="389"/>
      <c r="BV215" s="389"/>
      <c r="BW215" s="389"/>
      <c r="BX215" s="389"/>
      <c r="BY215" s="389"/>
      <c r="BZ215" s="389"/>
      <c r="CA215" s="389"/>
      <c r="CB215" s="389"/>
      <c r="CC215" s="389"/>
      <c r="CD215" s="389"/>
      <c r="CE215" s="389"/>
      <c r="CF215" s="389"/>
      <c r="CG215" s="389"/>
      <c r="CH215" s="389"/>
      <c r="CI215" s="389"/>
      <c r="CJ215" s="389"/>
      <c r="CK215" s="389"/>
      <c r="CL215" s="389"/>
      <c r="CM215" s="389"/>
      <c r="CN215" s="389"/>
      <c r="CO215" s="389"/>
      <c r="CP215" s="389"/>
      <c r="CQ215" s="389"/>
      <c r="CR215" s="389"/>
      <c r="CS215" s="389"/>
      <c r="CT215" s="389"/>
      <c r="CU215" s="389"/>
      <c r="CV215" s="389"/>
      <c r="CW215" s="389"/>
      <c r="CX215" s="389"/>
      <c r="CY215" s="389"/>
      <c r="CZ215" s="389"/>
      <c r="DA215" s="389"/>
      <c r="DB215" s="389"/>
      <c r="DC215" s="389"/>
      <c r="DD215" s="389"/>
      <c r="DE215" s="389"/>
      <c r="DF215" s="389"/>
      <c r="DG215" s="389"/>
      <c r="DH215" s="389"/>
      <c r="DI215" s="389"/>
      <c r="DJ215" s="389"/>
      <c r="DK215" s="389"/>
      <c r="DL215" s="389"/>
      <c r="DM215" s="389"/>
      <c r="DN215" s="389"/>
      <c r="DO215" s="389"/>
      <c r="DP215" s="389"/>
      <c r="DQ215" s="389"/>
      <c r="DR215" s="389"/>
      <c r="DS215" s="389"/>
      <c r="DT215" s="389"/>
      <c r="DU215" s="389"/>
      <c r="DV215" s="389"/>
      <c r="DW215" s="389"/>
      <c r="DX215" s="389"/>
      <c r="DY215" s="389"/>
      <c r="DZ215" s="389"/>
      <c r="EA215" s="389"/>
    </row>
    <row r="216" spans="2:131" s="390" customFormat="1" ht="30" customHeight="1" x14ac:dyDescent="0.35">
      <c r="B216" s="373" t="s">
        <v>1001</v>
      </c>
      <c r="C216" s="374" t="s">
        <v>954</v>
      </c>
      <c r="D216" s="375" t="s">
        <v>953</v>
      </c>
      <c r="E216" s="375" t="s">
        <v>953</v>
      </c>
      <c r="F216" s="375">
        <f>7+20.71006/60</f>
        <v>7.3451676666666668</v>
      </c>
      <c r="G216" s="375">
        <f>134+29.01581/60</f>
        <v>134.48359683333334</v>
      </c>
      <c r="H216" s="375">
        <f>7+20.63315/60</f>
        <v>7.3438858333333332</v>
      </c>
      <c r="I216" s="375">
        <f>134+29.04785/60</f>
        <v>134.48413083333332</v>
      </c>
      <c r="J216" s="375" t="s">
        <v>97</v>
      </c>
      <c r="K216" s="375">
        <v>2016</v>
      </c>
      <c r="L216" s="375" t="s">
        <v>311</v>
      </c>
      <c r="M216" s="378">
        <v>160</v>
      </c>
      <c r="N216" s="375">
        <v>4.9000000000000004</v>
      </c>
      <c r="O216" s="375">
        <v>2</v>
      </c>
      <c r="P216" s="375" t="s">
        <v>272</v>
      </c>
      <c r="Q216" s="375" t="s">
        <v>275</v>
      </c>
      <c r="R216" s="375" t="s">
        <v>801</v>
      </c>
      <c r="S216" s="380" t="s">
        <v>92</v>
      </c>
      <c r="T216" s="154">
        <v>5</v>
      </c>
      <c r="U216" s="154">
        <v>4</v>
      </c>
      <c r="V216" s="154">
        <v>3</v>
      </c>
      <c r="W216" s="154">
        <v>4</v>
      </c>
      <c r="X216" s="154" t="s">
        <v>311</v>
      </c>
      <c r="Y216" s="154">
        <v>5</v>
      </c>
      <c r="Z216" s="154">
        <f t="shared" si="85"/>
        <v>90</v>
      </c>
      <c r="AA216" s="405">
        <f t="shared" si="68"/>
        <v>80000</v>
      </c>
      <c r="AB216" s="405">
        <f t="shared" si="69"/>
        <v>48000</v>
      </c>
      <c r="AC216" s="407">
        <f t="shared" si="70"/>
        <v>700</v>
      </c>
      <c r="AD216" s="343"/>
      <c r="AE216" s="343"/>
      <c r="AF216" s="343"/>
      <c r="AG216" s="343"/>
      <c r="AH216" s="381"/>
      <c r="AI216" s="381"/>
      <c r="AJ216" s="381"/>
      <c r="AK216" s="381"/>
      <c r="AL216" s="389"/>
      <c r="AM216" s="389"/>
      <c r="AN216" s="389"/>
      <c r="AO216" s="389"/>
      <c r="AP216" s="389"/>
      <c r="AQ216" s="389"/>
      <c r="AR216" s="389"/>
      <c r="AS216" s="389"/>
      <c r="AT216" s="389"/>
      <c r="AU216" s="389"/>
      <c r="AV216" s="389"/>
      <c r="AW216" s="217">
        <f t="shared" si="71"/>
        <v>5</v>
      </c>
      <c r="AX216" s="217">
        <f t="shared" si="72"/>
        <v>4</v>
      </c>
      <c r="AY216" s="217">
        <f t="shared" si="73"/>
        <v>3</v>
      </c>
      <c r="AZ216" s="217">
        <f t="shared" si="74"/>
        <v>4</v>
      </c>
      <c r="BA216" s="217">
        <f t="shared" si="75"/>
        <v>0</v>
      </c>
      <c r="BB216" s="217">
        <f t="shared" si="76"/>
        <v>5</v>
      </c>
      <c r="BC216" s="217">
        <f t="shared" si="77"/>
        <v>63</v>
      </c>
      <c r="BD216" s="217"/>
      <c r="BE216" s="217">
        <f t="shared" si="78"/>
        <v>5</v>
      </c>
      <c r="BF216" s="217">
        <f t="shared" si="79"/>
        <v>5</v>
      </c>
      <c r="BG216" s="217">
        <f t="shared" si="80"/>
        <v>5</v>
      </c>
      <c r="BH216" s="217">
        <f t="shared" si="81"/>
        <v>5</v>
      </c>
      <c r="BI216" s="217">
        <f t="shared" si="82"/>
        <v>0</v>
      </c>
      <c r="BJ216" s="217">
        <f t="shared" si="83"/>
        <v>5</v>
      </c>
      <c r="BK216" s="217">
        <f t="shared" si="84"/>
        <v>70</v>
      </c>
      <c r="BL216" s="389"/>
      <c r="BM216" s="389"/>
      <c r="BN216" s="389"/>
      <c r="BO216" s="389"/>
      <c r="BP216" s="389"/>
      <c r="BQ216" s="389"/>
      <c r="BR216" s="389"/>
      <c r="BS216" s="389"/>
      <c r="BT216" s="389"/>
      <c r="BU216" s="389"/>
      <c r="BV216" s="389"/>
      <c r="BW216" s="389"/>
      <c r="BX216" s="389"/>
      <c r="BY216" s="389"/>
      <c r="BZ216" s="389"/>
      <c r="CA216" s="389"/>
      <c r="CB216" s="389"/>
      <c r="CC216" s="389"/>
      <c r="CD216" s="389"/>
      <c r="CE216" s="389"/>
      <c r="CF216" s="389"/>
      <c r="CG216" s="389"/>
      <c r="CH216" s="389"/>
      <c r="CI216" s="389"/>
      <c r="CJ216" s="389"/>
      <c r="CK216" s="389"/>
      <c r="CL216" s="389"/>
      <c r="CM216" s="389"/>
      <c r="CN216" s="389"/>
      <c r="CO216" s="389"/>
      <c r="CP216" s="389"/>
      <c r="CQ216" s="389"/>
      <c r="CR216" s="389"/>
      <c r="CS216" s="389"/>
      <c r="CT216" s="389"/>
      <c r="CU216" s="389"/>
      <c r="CV216" s="389"/>
      <c r="CW216" s="389"/>
      <c r="CX216" s="389"/>
      <c r="CY216" s="389"/>
      <c r="CZ216" s="389"/>
      <c r="DA216" s="389"/>
      <c r="DB216" s="389"/>
      <c r="DC216" s="389"/>
      <c r="DD216" s="389"/>
      <c r="DE216" s="389"/>
      <c r="DF216" s="389"/>
      <c r="DG216" s="389"/>
      <c r="DH216" s="389"/>
      <c r="DI216" s="389"/>
      <c r="DJ216" s="389"/>
      <c r="DK216" s="389"/>
      <c r="DL216" s="389"/>
      <c r="DM216" s="389"/>
      <c r="DN216" s="389"/>
      <c r="DO216" s="389"/>
      <c r="DP216" s="389"/>
      <c r="DQ216" s="389"/>
      <c r="DR216" s="389"/>
      <c r="DS216" s="389"/>
      <c r="DT216" s="389"/>
      <c r="DU216" s="389"/>
      <c r="DV216" s="389"/>
      <c r="DW216" s="389"/>
      <c r="DX216" s="389"/>
      <c r="DY216" s="389"/>
      <c r="DZ216" s="389"/>
      <c r="EA216" s="389"/>
    </row>
    <row r="217" spans="2:131" s="390" customFormat="1" ht="30" customHeight="1" x14ac:dyDescent="0.35">
      <c r="B217" s="373" t="s">
        <v>1002</v>
      </c>
      <c r="C217" s="374" t="s">
        <v>952</v>
      </c>
      <c r="D217" s="375" t="s">
        <v>953</v>
      </c>
      <c r="E217" s="375" t="s">
        <v>953</v>
      </c>
      <c r="F217" s="375">
        <f>7+20.60114/60</f>
        <v>7.3433523333333337</v>
      </c>
      <c r="G217" s="375">
        <f>134+28.86841/60</f>
        <v>134.48114016666668</v>
      </c>
      <c r="H217" s="375">
        <f>7+20.44647/60</f>
        <v>7.3407745000000002</v>
      </c>
      <c r="I217" s="375">
        <f>134+28.91693/60</f>
        <v>134.48194883333332</v>
      </c>
      <c r="J217" s="375" t="s">
        <v>97</v>
      </c>
      <c r="K217" s="377">
        <v>2016</v>
      </c>
      <c r="L217" s="375" t="s">
        <v>311</v>
      </c>
      <c r="M217" s="378">
        <v>317</v>
      </c>
      <c r="N217" s="375">
        <v>4.9000000000000004</v>
      </c>
      <c r="O217" s="375">
        <v>2</v>
      </c>
      <c r="P217" s="375" t="s">
        <v>83</v>
      </c>
      <c r="Q217" s="375" t="s">
        <v>275</v>
      </c>
      <c r="R217" s="375" t="s">
        <v>801</v>
      </c>
      <c r="S217" s="380" t="s">
        <v>92</v>
      </c>
      <c r="T217" s="154">
        <v>5</v>
      </c>
      <c r="U217" s="154">
        <v>4</v>
      </c>
      <c r="V217" s="154">
        <v>4</v>
      </c>
      <c r="W217" s="154">
        <v>4</v>
      </c>
      <c r="X217" s="154" t="s">
        <v>311</v>
      </c>
      <c r="Y217" s="154">
        <v>5</v>
      </c>
      <c r="Z217" s="154">
        <f t="shared" si="85"/>
        <v>92</v>
      </c>
      <c r="AA217" s="405">
        <f t="shared" si="68"/>
        <v>158500</v>
      </c>
      <c r="AB217" s="405">
        <f t="shared" si="69"/>
        <v>95100</v>
      </c>
      <c r="AC217" s="407">
        <f t="shared" si="70"/>
        <v>1400</v>
      </c>
      <c r="AD217" s="343"/>
      <c r="AE217" s="343"/>
      <c r="AF217" s="343"/>
      <c r="AG217" s="343"/>
      <c r="AH217" s="381"/>
      <c r="AI217" s="381"/>
      <c r="AJ217" s="381"/>
      <c r="AK217" s="381"/>
      <c r="AL217" s="389"/>
      <c r="AM217" s="389"/>
      <c r="AN217" s="389"/>
      <c r="AO217" s="389"/>
      <c r="AP217" s="389"/>
      <c r="AQ217" s="389"/>
      <c r="AR217" s="389"/>
      <c r="AS217" s="389"/>
      <c r="AT217" s="389"/>
      <c r="AU217" s="389"/>
      <c r="AV217" s="389"/>
      <c r="AW217" s="217">
        <f t="shared" si="71"/>
        <v>5</v>
      </c>
      <c r="AX217" s="217">
        <f t="shared" si="72"/>
        <v>4</v>
      </c>
      <c r="AY217" s="217">
        <f t="shared" si="73"/>
        <v>4</v>
      </c>
      <c r="AZ217" s="217">
        <f t="shared" si="74"/>
        <v>4</v>
      </c>
      <c r="BA217" s="217">
        <f t="shared" si="75"/>
        <v>0</v>
      </c>
      <c r="BB217" s="217">
        <f t="shared" si="76"/>
        <v>5</v>
      </c>
      <c r="BC217" s="217">
        <f t="shared" si="77"/>
        <v>64</v>
      </c>
      <c r="BD217" s="217"/>
      <c r="BE217" s="217">
        <f t="shared" si="78"/>
        <v>5</v>
      </c>
      <c r="BF217" s="217">
        <f t="shared" si="79"/>
        <v>5</v>
      </c>
      <c r="BG217" s="217">
        <f t="shared" si="80"/>
        <v>5</v>
      </c>
      <c r="BH217" s="217">
        <f t="shared" si="81"/>
        <v>5</v>
      </c>
      <c r="BI217" s="217">
        <f t="shared" si="82"/>
        <v>0</v>
      </c>
      <c r="BJ217" s="217">
        <f t="shared" si="83"/>
        <v>5</v>
      </c>
      <c r="BK217" s="217">
        <f t="shared" si="84"/>
        <v>70</v>
      </c>
      <c r="BL217" s="389"/>
      <c r="BM217" s="389"/>
      <c r="BN217" s="389"/>
      <c r="BO217" s="389"/>
      <c r="BP217" s="389"/>
      <c r="BQ217" s="389"/>
      <c r="BR217" s="389"/>
      <c r="BS217" s="389"/>
      <c r="BT217" s="389"/>
      <c r="BU217" s="389"/>
      <c r="BV217" s="389"/>
      <c r="BW217" s="389"/>
      <c r="BX217" s="389"/>
      <c r="BY217" s="389"/>
      <c r="BZ217" s="389"/>
      <c r="CA217" s="389"/>
      <c r="CB217" s="389"/>
      <c r="CC217" s="389"/>
      <c r="CD217" s="389"/>
      <c r="CE217" s="389"/>
      <c r="CF217" s="389"/>
      <c r="CG217" s="389"/>
      <c r="CH217" s="389"/>
      <c r="CI217" s="389"/>
      <c r="CJ217" s="389"/>
      <c r="CK217" s="389"/>
      <c r="CL217" s="389"/>
      <c r="CM217" s="389"/>
      <c r="CN217" s="389"/>
      <c r="CO217" s="389"/>
      <c r="CP217" s="389"/>
      <c r="CQ217" s="389"/>
      <c r="CR217" s="389"/>
      <c r="CS217" s="389"/>
      <c r="CT217" s="389"/>
      <c r="CU217" s="389"/>
      <c r="CV217" s="389"/>
      <c r="CW217" s="389"/>
      <c r="CX217" s="389"/>
      <c r="CY217" s="389"/>
      <c r="CZ217" s="389"/>
      <c r="DA217" s="389"/>
      <c r="DB217" s="389"/>
      <c r="DC217" s="389"/>
      <c r="DD217" s="389"/>
      <c r="DE217" s="389"/>
      <c r="DF217" s="389"/>
      <c r="DG217" s="389"/>
      <c r="DH217" s="389"/>
      <c r="DI217" s="389"/>
      <c r="DJ217" s="389"/>
      <c r="DK217" s="389"/>
      <c r="DL217" s="389"/>
      <c r="DM217" s="389"/>
      <c r="DN217" s="389"/>
      <c r="DO217" s="389"/>
      <c r="DP217" s="389"/>
      <c r="DQ217" s="389"/>
      <c r="DR217" s="389"/>
      <c r="DS217" s="389"/>
      <c r="DT217" s="389"/>
      <c r="DU217" s="389"/>
      <c r="DV217" s="389"/>
      <c r="DW217" s="389"/>
      <c r="DX217" s="389"/>
      <c r="DY217" s="389"/>
      <c r="DZ217" s="389"/>
      <c r="EA217" s="389"/>
    </row>
    <row r="218" spans="2:131" s="390" customFormat="1" ht="30" customHeight="1" x14ac:dyDescent="0.35">
      <c r="B218" s="373" t="s">
        <v>1003</v>
      </c>
      <c r="C218" s="374" t="s">
        <v>1099</v>
      </c>
      <c r="D218" s="375" t="s">
        <v>953</v>
      </c>
      <c r="E218" s="375" t="s">
        <v>953</v>
      </c>
      <c r="F218" s="375">
        <f>7+20.75541/60</f>
        <v>7.3459234999999996</v>
      </c>
      <c r="G218" s="375">
        <f>134+29.263/60</f>
        <v>134.48771666666667</v>
      </c>
      <c r="H218" s="375">
        <f>7+20.7084/60</f>
        <v>7.3451399999999998</v>
      </c>
      <c r="I218" s="375">
        <f>134+29.28497/60</f>
        <v>134.48808283333332</v>
      </c>
      <c r="J218" s="375" t="s">
        <v>97</v>
      </c>
      <c r="K218" s="377" t="s">
        <v>502</v>
      </c>
      <c r="L218" s="375" t="s">
        <v>311</v>
      </c>
      <c r="M218" s="378">
        <v>125</v>
      </c>
      <c r="N218" s="375">
        <v>4.3</v>
      </c>
      <c r="O218" s="375">
        <v>2</v>
      </c>
      <c r="P218" s="375" t="s">
        <v>83</v>
      </c>
      <c r="Q218" s="375" t="s">
        <v>275</v>
      </c>
      <c r="R218" s="375" t="s">
        <v>1113</v>
      </c>
      <c r="S218" s="380" t="s">
        <v>92</v>
      </c>
      <c r="T218" s="154">
        <v>4</v>
      </c>
      <c r="U218" s="154">
        <v>3</v>
      </c>
      <c r="V218" s="154">
        <v>2</v>
      </c>
      <c r="W218" s="154">
        <v>3</v>
      </c>
      <c r="X218" s="154" t="s">
        <v>311</v>
      </c>
      <c r="Y218" s="154">
        <v>3</v>
      </c>
      <c r="Z218" s="154">
        <f t="shared" si="85"/>
        <v>65</v>
      </c>
      <c r="AA218" s="405">
        <f t="shared" si="68"/>
        <v>62500</v>
      </c>
      <c r="AB218" s="405">
        <f t="shared" si="69"/>
        <v>37500</v>
      </c>
      <c r="AC218" s="407">
        <f t="shared" si="70"/>
        <v>600</v>
      </c>
      <c r="AD218" s="343"/>
      <c r="AE218" s="343"/>
      <c r="AF218" s="343"/>
      <c r="AG218" s="343"/>
      <c r="AH218" s="381"/>
      <c r="AI218" s="381"/>
      <c r="AJ218" s="381">
        <f t="shared" si="87"/>
        <v>12500</v>
      </c>
      <c r="AK218" s="381"/>
      <c r="AL218" s="389"/>
      <c r="AM218" s="389"/>
      <c r="AN218" s="389"/>
      <c r="AO218" s="389"/>
      <c r="AP218" s="389"/>
      <c r="AQ218" s="389"/>
      <c r="AR218" s="389"/>
      <c r="AS218" s="389"/>
      <c r="AT218" s="389"/>
      <c r="AU218" s="389"/>
      <c r="AV218" s="389"/>
      <c r="AW218" s="217">
        <f t="shared" si="71"/>
        <v>4</v>
      </c>
      <c r="AX218" s="217">
        <f t="shared" si="72"/>
        <v>3</v>
      </c>
      <c r="AY218" s="217">
        <f t="shared" si="73"/>
        <v>2</v>
      </c>
      <c r="AZ218" s="217">
        <f t="shared" si="74"/>
        <v>3</v>
      </c>
      <c r="BA218" s="217">
        <f t="shared" si="75"/>
        <v>0</v>
      </c>
      <c r="BB218" s="217">
        <f t="shared" si="76"/>
        <v>3</v>
      </c>
      <c r="BC218" s="217">
        <f t="shared" si="77"/>
        <v>45</v>
      </c>
      <c r="BD218" s="217"/>
      <c r="BE218" s="217">
        <f t="shared" si="78"/>
        <v>5</v>
      </c>
      <c r="BF218" s="217">
        <f t="shared" si="79"/>
        <v>5</v>
      </c>
      <c r="BG218" s="217">
        <f t="shared" si="80"/>
        <v>5</v>
      </c>
      <c r="BH218" s="217">
        <f t="shared" si="81"/>
        <v>5</v>
      </c>
      <c r="BI218" s="217">
        <f t="shared" si="82"/>
        <v>0</v>
      </c>
      <c r="BJ218" s="217">
        <f t="shared" si="83"/>
        <v>5</v>
      </c>
      <c r="BK218" s="217">
        <f t="shared" si="84"/>
        <v>70</v>
      </c>
      <c r="BL218" s="389"/>
      <c r="BM218" s="389"/>
      <c r="BN218" s="389"/>
      <c r="BO218" s="389"/>
      <c r="BP218" s="389"/>
      <c r="BQ218" s="389"/>
      <c r="BR218" s="389"/>
      <c r="BS218" s="389"/>
      <c r="BT218" s="389"/>
      <c r="BU218" s="389"/>
      <c r="BV218" s="389"/>
      <c r="BW218" s="389"/>
      <c r="BX218" s="389"/>
      <c r="BY218" s="389"/>
      <c r="BZ218" s="389"/>
      <c r="CA218" s="389"/>
      <c r="CB218" s="389"/>
      <c r="CC218" s="389"/>
      <c r="CD218" s="389"/>
      <c r="CE218" s="389"/>
      <c r="CF218" s="389"/>
      <c r="CG218" s="389"/>
      <c r="CH218" s="389"/>
      <c r="CI218" s="389"/>
      <c r="CJ218" s="389"/>
      <c r="CK218" s="389"/>
      <c r="CL218" s="389"/>
      <c r="CM218" s="389"/>
      <c r="CN218" s="389"/>
      <c r="CO218" s="389"/>
      <c r="CP218" s="389"/>
      <c r="CQ218" s="389"/>
      <c r="CR218" s="389"/>
      <c r="CS218" s="389"/>
      <c r="CT218" s="389"/>
      <c r="CU218" s="389"/>
      <c r="CV218" s="389"/>
      <c r="CW218" s="389"/>
      <c r="CX218" s="389"/>
      <c r="CY218" s="389"/>
      <c r="CZ218" s="389"/>
      <c r="DA218" s="389"/>
      <c r="DB218" s="389"/>
      <c r="DC218" s="389"/>
      <c r="DD218" s="389"/>
      <c r="DE218" s="389"/>
      <c r="DF218" s="389"/>
      <c r="DG218" s="389"/>
      <c r="DH218" s="389"/>
      <c r="DI218" s="389"/>
      <c r="DJ218" s="389"/>
      <c r="DK218" s="389"/>
      <c r="DL218" s="389"/>
      <c r="DM218" s="389"/>
      <c r="DN218" s="389"/>
      <c r="DO218" s="389"/>
      <c r="DP218" s="389"/>
      <c r="DQ218" s="389"/>
      <c r="DR218" s="389"/>
      <c r="DS218" s="389"/>
      <c r="DT218" s="389"/>
      <c r="DU218" s="389"/>
      <c r="DV218" s="389"/>
      <c r="DW218" s="389"/>
      <c r="DX218" s="389"/>
      <c r="DY218" s="389"/>
      <c r="DZ218" s="389"/>
      <c r="EA218" s="389"/>
    </row>
    <row r="219" spans="2:131" s="390" customFormat="1" ht="30" customHeight="1" x14ac:dyDescent="0.35">
      <c r="B219" s="373" t="s">
        <v>1004</v>
      </c>
      <c r="C219" s="374" t="s">
        <v>1100</v>
      </c>
      <c r="D219" s="375" t="s">
        <v>953</v>
      </c>
      <c r="E219" s="375" t="s">
        <v>953</v>
      </c>
      <c r="F219" s="375">
        <f>7+20.73243/60</f>
        <v>7.3455405000000003</v>
      </c>
      <c r="G219" s="375">
        <f>134+29.26025/60</f>
        <v>134.48767083333334</v>
      </c>
      <c r="H219" s="375">
        <f>7+20.64248/60</f>
        <v>7.3440413333333332</v>
      </c>
      <c r="I219" s="375">
        <f>134+29.18976/60</f>
        <v>134.48649599999999</v>
      </c>
      <c r="J219" s="375" t="s">
        <v>97</v>
      </c>
      <c r="K219" s="377" t="s">
        <v>502</v>
      </c>
      <c r="L219" s="375" t="s">
        <v>311</v>
      </c>
      <c r="M219" s="378">
        <v>232</v>
      </c>
      <c r="N219" s="375">
        <v>4.9000000000000004</v>
      </c>
      <c r="O219" s="375">
        <v>2</v>
      </c>
      <c r="P219" s="375" t="s">
        <v>272</v>
      </c>
      <c r="Q219" s="375" t="s">
        <v>275</v>
      </c>
      <c r="R219" s="375" t="s">
        <v>1113</v>
      </c>
      <c r="S219" s="380" t="s">
        <v>92</v>
      </c>
      <c r="T219" s="154">
        <v>3</v>
      </c>
      <c r="U219" s="154">
        <v>4</v>
      </c>
      <c r="V219" s="154">
        <v>3</v>
      </c>
      <c r="W219" s="154">
        <v>3</v>
      </c>
      <c r="X219" s="154" t="s">
        <v>311</v>
      </c>
      <c r="Y219" s="154">
        <v>4</v>
      </c>
      <c r="Z219" s="154">
        <f t="shared" si="85"/>
        <v>72</v>
      </c>
      <c r="AA219" s="405">
        <f t="shared" si="68"/>
        <v>116000</v>
      </c>
      <c r="AB219" s="405">
        <f t="shared" si="69"/>
        <v>69600</v>
      </c>
      <c r="AC219" s="407">
        <f t="shared" si="70"/>
        <v>1000</v>
      </c>
      <c r="AD219" s="343"/>
      <c r="AE219" s="343"/>
      <c r="AF219" s="343"/>
      <c r="AG219" s="343"/>
      <c r="AH219" s="381"/>
      <c r="AI219" s="381"/>
      <c r="AJ219" s="381"/>
      <c r="AK219" s="381"/>
      <c r="AL219" s="389"/>
      <c r="AM219" s="389"/>
      <c r="AN219" s="389"/>
      <c r="AO219" s="389"/>
      <c r="AP219" s="389"/>
      <c r="AQ219" s="389"/>
      <c r="AR219" s="389"/>
      <c r="AS219" s="389"/>
      <c r="AT219" s="389"/>
      <c r="AU219" s="389"/>
      <c r="AV219" s="389"/>
      <c r="AW219" s="217">
        <f t="shared" si="71"/>
        <v>3</v>
      </c>
      <c r="AX219" s="217">
        <f t="shared" si="72"/>
        <v>4</v>
      </c>
      <c r="AY219" s="217">
        <f t="shared" si="73"/>
        <v>3</v>
      </c>
      <c r="AZ219" s="217">
        <f t="shared" si="74"/>
        <v>3</v>
      </c>
      <c r="BA219" s="217">
        <f t="shared" si="75"/>
        <v>0</v>
      </c>
      <c r="BB219" s="217">
        <f t="shared" si="76"/>
        <v>4</v>
      </c>
      <c r="BC219" s="217">
        <f t="shared" si="77"/>
        <v>50</v>
      </c>
      <c r="BD219" s="217"/>
      <c r="BE219" s="217">
        <f t="shared" si="78"/>
        <v>5</v>
      </c>
      <c r="BF219" s="217">
        <f t="shared" si="79"/>
        <v>5</v>
      </c>
      <c r="BG219" s="217">
        <f t="shared" si="80"/>
        <v>5</v>
      </c>
      <c r="BH219" s="217">
        <f t="shared" si="81"/>
        <v>5</v>
      </c>
      <c r="BI219" s="217">
        <f t="shared" si="82"/>
        <v>0</v>
      </c>
      <c r="BJ219" s="217">
        <f t="shared" si="83"/>
        <v>5</v>
      </c>
      <c r="BK219" s="217">
        <f t="shared" si="84"/>
        <v>70</v>
      </c>
      <c r="BL219" s="389"/>
      <c r="BM219" s="389"/>
      <c r="BN219" s="389"/>
      <c r="BO219" s="389"/>
      <c r="BP219" s="389"/>
      <c r="BQ219" s="389"/>
      <c r="BR219" s="389"/>
      <c r="BS219" s="389"/>
      <c r="BT219" s="389"/>
      <c r="BU219" s="389"/>
      <c r="BV219" s="389"/>
      <c r="BW219" s="389"/>
      <c r="BX219" s="389"/>
      <c r="BY219" s="389"/>
      <c r="BZ219" s="389"/>
      <c r="CA219" s="389"/>
      <c r="CB219" s="389"/>
      <c r="CC219" s="389"/>
      <c r="CD219" s="389"/>
      <c r="CE219" s="389"/>
      <c r="CF219" s="389"/>
      <c r="CG219" s="389"/>
      <c r="CH219" s="389"/>
      <c r="CI219" s="389"/>
      <c r="CJ219" s="389"/>
      <c r="CK219" s="389"/>
      <c r="CL219" s="389"/>
      <c r="CM219" s="389"/>
      <c r="CN219" s="389"/>
      <c r="CO219" s="389"/>
      <c r="CP219" s="389"/>
      <c r="CQ219" s="389"/>
      <c r="CR219" s="389"/>
      <c r="CS219" s="389"/>
      <c r="CT219" s="389"/>
      <c r="CU219" s="389"/>
      <c r="CV219" s="389"/>
      <c r="CW219" s="389"/>
      <c r="CX219" s="389"/>
      <c r="CY219" s="389"/>
      <c r="CZ219" s="389"/>
      <c r="DA219" s="389"/>
      <c r="DB219" s="389"/>
      <c r="DC219" s="389"/>
      <c r="DD219" s="389"/>
      <c r="DE219" s="389"/>
      <c r="DF219" s="389"/>
      <c r="DG219" s="389"/>
      <c r="DH219" s="389"/>
      <c r="DI219" s="389"/>
      <c r="DJ219" s="389"/>
      <c r="DK219" s="389"/>
      <c r="DL219" s="389"/>
      <c r="DM219" s="389"/>
      <c r="DN219" s="389"/>
      <c r="DO219" s="389"/>
      <c r="DP219" s="389"/>
      <c r="DQ219" s="389"/>
      <c r="DR219" s="389"/>
      <c r="DS219" s="389"/>
      <c r="DT219" s="389"/>
      <c r="DU219" s="389"/>
      <c r="DV219" s="389"/>
      <c r="DW219" s="389"/>
      <c r="DX219" s="389"/>
      <c r="DY219" s="389"/>
      <c r="DZ219" s="389"/>
      <c r="EA219" s="389"/>
    </row>
    <row r="220" spans="2:131" s="390" customFormat="1" ht="30" customHeight="1" x14ac:dyDescent="0.35">
      <c r="B220" s="373" t="s">
        <v>1005</v>
      </c>
      <c r="C220" s="374" t="s">
        <v>955</v>
      </c>
      <c r="D220" s="375" t="s">
        <v>956</v>
      </c>
      <c r="E220" s="375" t="s">
        <v>953</v>
      </c>
      <c r="F220" s="375">
        <f>7+20.53782/60</f>
        <v>7.3422970000000003</v>
      </c>
      <c r="G220" s="375">
        <f>134+28.89679/60</f>
        <v>134.48161316666668</v>
      </c>
      <c r="H220" s="375">
        <f>7+20.49846/60</f>
        <v>7.3416410000000001</v>
      </c>
      <c r="I220" s="375">
        <f>134+28.6322/60</f>
        <v>134.47720333333334</v>
      </c>
      <c r="J220" s="375" t="s">
        <v>97</v>
      </c>
      <c r="K220" s="375">
        <v>2014</v>
      </c>
      <c r="L220" s="375" t="s">
        <v>311</v>
      </c>
      <c r="M220" s="378">
        <v>508</v>
      </c>
      <c r="N220" s="375">
        <v>4.9000000000000004</v>
      </c>
      <c r="O220" s="375">
        <v>2</v>
      </c>
      <c r="P220" s="375" t="s">
        <v>83</v>
      </c>
      <c r="Q220" s="375" t="s">
        <v>275</v>
      </c>
      <c r="R220" s="375" t="s">
        <v>801</v>
      </c>
      <c r="S220" s="380" t="s">
        <v>92</v>
      </c>
      <c r="T220" s="154">
        <v>5</v>
      </c>
      <c r="U220" s="154">
        <v>3</v>
      </c>
      <c r="V220" s="154">
        <v>4</v>
      </c>
      <c r="W220" s="154">
        <v>4</v>
      </c>
      <c r="X220" s="154" t="s">
        <v>311</v>
      </c>
      <c r="Y220" s="154">
        <v>5</v>
      </c>
      <c r="Z220" s="154">
        <f t="shared" si="85"/>
        <v>86</v>
      </c>
      <c r="AA220" s="405">
        <f t="shared" si="68"/>
        <v>254000</v>
      </c>
      <c r="AB220" s="405">
        <f t="shared" si="69"/>
        <v>152400</v>
      </c>
      <c r="AC220" s="407">
        <f t="shared" si="70"/>
        <v>2300</v>
      </c>
      <c r="AD220" s="343"/>
      <c r="AE220" s="343"/>
      <c r="AF220" s="343"/>
      <c r="AG220" s="343"/>
      <c r="AH220" s="381"/>
      <c r="AI220" s="381"/>
      <c r="AJ220" s="381"/>
      <c r="AK220" s="381"/>
      <c r="AL220" s="389"/>
      <c r="AM220" s="389"/>
      <c r="AN220" s="389"/>
      <c r="AO220" s="389"/>
      <c r="AP220" s="389"/>
      <c r="AQ220" s="389"/>
      <c r="AR220" s="389"/>
      <c r="AS220" s="389"/>
      <c r="AT220" s="389"/>
      <c r="AU220" s="389"/>
      <c r="AV220" s="389"/>
      <c r="AW220" s="217">
        <f t="shared" si="71"/>
        <v>5</v>
      </c>
      <c r="AX220" s="217">
        <f t="shared" si="72"/>
        <v>3</v>
      </c>
      <c r="AY220" s="217">
        <f t="shared" si="73"/>
        <v>4</v>
      </c>
      <c r="AZ220" s="217">
        <f t="shared" si="74"/>
        <v>4</v>
      </c>
      <c r="BA220" s="217">
        <f t="shared" si="75"/>
        <v>0</v>
      </c>
      <c r="BB220" s="217">
        <f t="shared" si="76"/>
        <v>5</v>
      </c>
      <c r="BC220" s="217">
        <f t="shared" si="77"/>
        <v>60</v>
      </c>
      <c r="BD220" s="217"/>
      <c r="BE220" s="217">
        <f t="shared" si="78"/>
        <v>5</v>
      </c>
      <c r="BF220" s="217">
        <f t="shared" si="79"/>
        <v>5</v>
      </c>
      <c r="BG220" s="217">
        <f t="shared" si="80"/>
        <v>5</v>
      </c>
      <c r="BH220" s="217">
        <f t="shared" si="81"/>
        <v>5</v>
      </c>
      <c r="BI220" s="217">
        <f t="shared" si="82"/>
        <v>0</v>
      </c>
      <c r="BJ220" s="217">
        <f t="shared" si="83"/>
        <v>5</v>
      </c>
      <c r="BK220" s="217">
        <f t="shared" si="84"/>
        <v>70</v>
      </c>
      <c r="BL220" s="389"/>
      <c r="BM220" s="389"/>
      <c r="BN220" s="389"/>
      <c r="BO220" s="389"/>
      <c r="BP220" s="389"/>
      <c r="BQ220" s="389"/>
      <c r="BR220" s="389"/>
      <c r="BS220" s="389"/>
      <c r="BT220" s="389"/>
      <c r="BU220" s="389"/>
      <c r="BV220" s="389"/>
      <c r="BW220" s="389"/>
      <c r="BX220" s="389"/>
      <c r="BY220" s="389"/>
      <c r="BZ220" s="389"/>
      <c r="CA220" s="389"/>
      <c r="CB220" s="389"/>
      <c r="CC220" s="389"/>
      <c r="CD220" s="389"/>
      <c r="CE220" s="389"/>
      <c r="CF220" s="389"/>
      <c r="CG220" s="389"/>
      <c r="CH220" s="389"/>
      <c r="CI220" s="389"/>
      <c r="CJ220" s="389"/>
      <c r="CK220" s="389"/>
      <c r="CL220" s="389"/>
      <c r="CM220" s="389"/>
      <c r="CN220" s="389"/>
      <c r="CO220" s="389"/>
      <c r="CP220" s="389"/>
      <c r="CQ220" s="389"/>
      <c r="CR220" s="389"/>
      <c r="CS220" s="389"/>
      <c r="CT220" s="389"/>
      <c r="CU220" s="389"/>
      <c r="CV220" s="389"/>
      <c r="CW220" s="389"/>
      <c r="CX220" s="389"/>
      <c r="CY220" s="389"/>
      <c r="CZ220" s="389"/>
      <c r="DA220" s="389"/>
      <c r="DB220" s="389"/>
      <c r="DC220" s="389"/>
      <c r="DD220" s="389"/>
      <c r="DE220" s="389"/>
      <c r="DF220" s="389"/>
      <c r="DG220" s="389"/>
      <c r="DH220" s="389"/>
      <c r="DI220" s="389"/>
      <c r="DJ220" s="389"/>
      <c r="DK220" s="389"/>
      <c r="DL220" s="389"/>
      <c r="DM220" s="389"/>
      <c r="DN220" s="389"/>
      <c r="DO220" s="389"/>
      <c r="DP220" s="389"/>
      <c r="DQ220" s="389"/>
      <c r="DR220" s="389"/>
      <c r="DS220" s="389"/>
      <c r="DT220" s="389"/>
      <c r="DU220" s="389"/>
      <c r="DV220" s="389"/>
      <c r="DW220" s="389"/>
      <c r="DX220" s="389"/>
      <c r="DY220" s="389"/>
      <c r="DZ220" s="389"/>
      <c r="EA220" s="389"/>
    </row>
    <row r="221" spans="2:131" s="390" customFormat="1" ht="30" customHeight="1" x14ac:dyDescent="0.35">
      <c r="B221" s="373" t="s">
        <v>1007</v>
      </c>
      <c r="C221" s="374" t="s">
        <v>1116</v>
      </c>
      <c r="D221" s="375" t="s">
        <v>953</v>
      </c>
      <c r="E221" s="375" t="s">
        <v>953</v>
      </c>
      <c r="F221" s="375">
        <f>7+20.66182/60</f>
        <v>7.3443636666666663</v>
      </c>
      <c r="G221" s="375">
        <f>134+28.92151/60</f>
        <v>134.48202516666666</v>
      </c>
      <c r="H221" s="375">
        <f>7+20.60812/60</f>
        <v>7.3434686666666664</v>
      </c>
      <c r="I221" s="375">
        <f>134+28.96545/60</f>
        <v>134.48275749999999</v>
      </c>
      <c r="J221" s="375" t="s">
        <v>97</v>
      </c>
      <c r="K221" s="375">
        <v>2015</v>
      </c>
      <c r="L221" s="375" t="s">
        <v>311</v>
      </c>
      <c r="M221" s="378">
        <v>147</v>
      </c>
      <c r="N221" s="375">
        <v>4.9000000000000004</v>
      </c>
      <c r="O221" s="375">
        <v>2</v>
      </c>
      <c r="P221" s="375" t="s">
        <v>272</v>
      </c>
      <c r="Q221" s="375" t="s">
        <v>275</v>
      </c>
      <c r="R221" s="375" t="s">
        <v>801</v>
      </c>
      <c r="S221" s="380" t="s">
        <v>92</v>
      </c>
      <c r="T221" s="154">
        <v>5</v>
      </c>
      <c r="U221" s="154">
        <v>4</v>
      </c>
      <c r="V221" s="154">
        <v>4</v>
      </c>
      <c r="W221" s="154">
        <v>4</v>
      </c>
      <c r="X221" s="154" t="s">
        <v>311</v>
      </c>
      <c r="Y221" s="154">
        <v>5</v>
      </c>
      <c r="Z221" s="154">
        <f t="shared" si="85"/>
        <v>92</v>
      </c>
      <c r="AA221" s="405">
        <f t="shared" si="68"/>
        <v>73500</v>
      </c>
      <c r="AB221" s="405">
        <f t="shared" si="69"/>
        <v>44100</v>
      </c>
      <c r="AC221" s="407">
        <f t="shared" si="70"/>
        <v>700</v>
      </c>
      <c r="AD221" s="343"/>
      <c r="AE221" s="343"/>
      <c r="AF221" s="343"/>
      <c r="AG221" s="343"/>
      <c r="AH221" s="381"/>
      <c r="AI221" s="381"/>
      <c r="AJ221" s="381"/>
      <c r="AK221" s="381"/>
      <c r="AL221" s="389"/>
      <c r="AM221" s="389"/>
      <c r="AN221" s="389"/>
      <c r="AO221" s="389"/>
      <c r="AP221" s="389"/>
      <c r="AQ221" s="389"/>
      <c r="AR221" s="389"/>
      <c r="AS221" s="389"/>
      <c r="AT221" s="389"/>
      <c r="AU221" s="389"/>
      <c r="AV221" s="389"/>
      <c r="AW221" s="217">
        <f t="shared" si="71"/>
        <v>5</v>
      </c>
      <c r="AX221" s="217">
        <f t="shared" si="72"/>
        <v>4</v>
      </c>
      <c r="AY221" s="217">
        <f t="shared" si="73"/>
        <v>4</v>
      </c>
      <c r="AZ221" s="217">
        <f t="shared" si="74"/>
        <v>4</v>
      </c>
      <c r="BA221" s="217">
        <f t="shared" si="75"/>
        <v>0</v>
      </c>
      <c r="BB221" s="217">
        <f t="shared" si="76"/>
        <v>5</v>
      </c>
      <c r="BC221" s="217">
        <f t="shared" si="77"/>
        <v>64</v>
      </c>
      <c r="BD221" s="217"/>
      <c r="BE221" s="217">
        <f t="shared" si="78"/>
        <v>5</v>
      </c>
      <c r="BF221" s="217">
        <f t="shared" si="79"/>
        <v>5</v>
      </c>
      <c r="BG221" s="217">
        <f t="shared" si="80"/>
        <v>5</v>
      </c>
      <c r="BH221" s="217">
        <f t="shared" si="81"/>
        <v>5</v>
      </c>
      <c r="BI221" s="217">
        <f t="shared" si="82"/>
        <v>0</v>
      </c>
      <c r="BJ221" s="217">
        <f t="shared" si="83"/>
        <v>5</v>
      </c>
      <c r="BK221" s="217">
        <f t="shared" si="84"/>
        <v>70</v>
      </c>
      <c r="BL221" s="389"/>
      <c r="BM221" s="389"/>
      <c r="BN221" s="389"/>
      <c r="BO221" s="389"/>
      <c r="BP221" s="389"/>
      <c r="BQ221" s="389"/>
      <c r="BR221" s="389"/>
      <c r="BS221" s="389"/>
      <c r="BT221" s="389"/>
      <c r="BU221" s="389"/>
      <c r="BV221" s="389"/>
      <c r="BW221" s="389"/>
      <c r="BX221" s="389"/>
      <c r="BY221" s="389"/>
      <c r="BZ221" s="389"/>
      <c r="CA221" s="389"/>
      <c r="CB221" s="389"/>
      <c r="CC221" s="389"/>
      <c r="CD221" s="389"/>
      <c r="CE221" s="389"/>
      <c r="CF221" s="389"/>
      <c r="CG221" s="389"/>
      <c r="CH221" s="389"/>
      <c r="CI221" s="389"/>
      <c r="CJ221" s="389"/>
      <c r="CK221" s="389"/>
      <c r="CL221" s="389"/>
      <c r="CM221" s="389"/>
      <c r="CN221" s="389"/>
      <c r="CO221" s="389"/>
      <c r="CP221" s="389"/>
      <c r="CQ221" s="389"/>
      <c r="CR221" s="389"/>
      <c r="CS221" s="389"/>
      <c r="CT221" s="389"/>
      <c r="CU221" s="389"/>
      <c r="CV221" s="389"/>
      <c r="CW221" s="389"/>
      <c r="CX221" s="389"/>
      <c r="CY221" s="389"/>
      <c r="CZ221" s="389"/>
      <c r="DA221" s="389"/>
      <c r="DB221" s="389"/>
      <c r="DC221" s="389"/>
      <c r="DD221" s="389"/>
      <c r="DE221" s="389"/>
      <c r="DF221" s="389"/>
      <c r="DG221" s="389"/>
      <c r="DH221" s="389"/>
      <c r="DI221" s="389"/>
      <c r="DJ221" s="389"/>
      <c r="DK221" s="389"/>
      <c r="DL221" s="389"/>
      <c r="DM221" s="389"/>
      <c r="DN221" s="389"/>
      <c r="DO221" s="389"/>
      <c r="DP221" s="389"/>
      <c r="DQ221" s="389"/>
      <c r="DR221" s="389"/>
      <c r="DS221" s="389"/>
      <c r="DT221" s="389"/>
      <c r="DU221" s="389"/>
      <c r="DV221" s="389"/>
      <c r="DW221" s="389"/>
      <c r="DX221" s="389"/>
      <c r="DY221" s="389"/>
      <c r="DZ221" s="389"/>
      <c r="EA221" s="389"/>
    </row>
    <row r="222" spans="2:131" s="390" customFormat="1" ht="30" customHeight="1" x14ac:dyDescent="0.35">
      <c r="B222" s="373" t="s">
        <v>1008</v>
      </c>
      <c r="C222" s="374" t="s">
        <v>957</v>
      </c>
      <c r="D222" s="375" t="s">
        <v>800</v>
      </c>
      <c r="E222" s="375" t="s">
        <v>800</v>
      </c>
      <c r="F222" s="375">
        <f>7+20.72948/60</f>
        <v>7.3454913333333334</v>
      </c>
      <c r="G222" s="375">
        <f>134+29.04602/60</f>
        <v>134.48410033333334</v>
      </c>
      <c r="H222" s="375">
        <f>7+20.76402/60</f>
        <v>7.3460669999999997</v>
      </c>
      <c r="I222" s="375">
        <f>134+28.9563/60</f>
        <v>134.48260500000001</v>
      </c>
      <c r="J222" s="375" t="s">
        <v>97</v>
      </c>
      <c r="K222" s="375" t="s">
        <v>545</v>
      </c>
      <c r="L222" s="375" t="s">
        <v>311</v>
      </c>
      <c r="M222" s="378">
        <v>300</v>
      </c>
      <c r="N222" s="375">
        <v>4.9000000000000004</v>
      </c>
      <c r="O222" s="375">
        <v>2</v>
      </c>
      <c r="P222" s="375" t="s">
        <v>272</v>
      </c>
      <c r="Q222" s="375" t="s">
        <v>275</v>
      </c>
      <c r="R222" s="375" t="s">
        <v>92</v>
      </c>
      <c r="S222" s="380" t="s">
        <v>92</v>
      </c>
      <c r="T222" s="154">
        <v>2</v>
      </c>
      <c r="U222" s="154">
        <v>2</v>
      </c>
      <c r="V222" s="154" t="s">
        <v>311</v>
      </c>
      <c r="W222" s="154">
        <v>2</v>
      </c>
      <c r="X222" s="154" t="s">
        <v>311</v>
      </c>
      <c r="Y222" s="154">
        <v>5</v>
      </c>
      <c r="Z222" s="154">
        <f t="shared" si="85"/>
        <v>59</v>
      </c>
      <c r="AA222" s="405">
        <f t="shared" si="68"/>
        <v>150000</v>
      </c>
      <c r="AB222" s="405">
        <f t="shared" si="69"/>
        <v>90000</v>
      </c>
      <c r="AC222" s="407">
        <f t="shared" si="70"/>
        <v>1400</v>
      </c>
      <c r="AD222" s="343"/>
      <c r="AE222" s="343"/>
      <c r="AF222" s="343"/>
      <c r="AG222" s="343"/>
      <c r="AH222" s="381">
        <f t="shared" ref="AH222:AH269" si="88">$M222*T$2</f>
        <v>60000</v>
      </c>
      <c r="AI222" s="381">
        <f t="shared" si="86"/>
        <v>90000</v>
      </c>
      <c r="AJ222" s="381"/>
      <c r="AK222" s="381"/>
      <c r="AL222" s="389"/>
      <c r="AM222" s="389"/>
      <c r="AN222" s="389"/>
      <c r="AO222" s="389"/>
      <c r="AP222" s="389"/>
      <c r="AQ222" s="389"/>
      <c r="AR222" s="389"/>
      <c r="AS222" s="389"/>
      <c r="AT222" s="389"/>
      <c r="AU222" s="389"/>
      <c r="AV222" s="389"/>
      <c r="AW222" s="217">
        <f t="shared" si="71"/>
        <v>2</v>
      </c>
      <c r="AX222" s="217">
        <f t="shared" si="72"/>
        <v>2</v>
      </c>
      <c r="AY222" s="217">
        <f t="shared" si="73"/>
        <v>0</v>
      </c>
      <c r="AZ222" s="217">
        <f t="shared" si="74"/>
        <v>2</v>
      </c>
      <c r="BA222" s="217">
        <f t="shared" si="75"/>
        <v>0</v>
      </c>
      <c r="BB222" s="217">
        <f t="shared" si="76"/>
        <v>5</v>
      </c>
      <c r="BC222" s="217">
        <f t="shared" si="77"/>
        <v>38</v>
      </c>
      <c r="BD222" s="217"/>
      <c r="BE222" s="217">
        <f t="shared" si="78"/>
        <v>5</v>
      </c>
      <c r="BF222" s="217">
        <f t="shared" si="79"/>
        <v>5</v>
      </c>
      <c r="BG222" s="217">
        <f t="shared" si="80"/>
        <v>0</v>
      </c>
      <c r="BH222" s="217">
        <f t="shared" si="81"/>
        <v>5</v>
      </c>
      <c r="BI222" s="217">
        <f t="shared" si="82"/>
        <v>0</v>
      </c>
      <c r="BJ222" s="217">
        <f t="shared" si="83"/>
        <v>5</v>
      </c>
      <c r="BK222" s="217">
        <f t="shared" si="84"/>
        <v>65</v>
      </c>
      <c r="BL222" s="389"/>
      <c r="BM222" s="389"/>
      <c r="BN222" s="389"/>
      <c r="BO222" s="389"/>
      <c r="BP222" s="389"/>
      <c r="BQ222" s="389"/>
      <c r="BR222" s="389"/>
      <c r="BS222" s="389"/>
      <c r="BT222" s="389"/>
      <c r="BU222" s="389"/>
      <c r="BV222" s="389"/>
      <c r="BW222" s="389"/>
      <c r="BX222" s="389"/>
      <c r="BY222" s="389"/>
      <c r="BZ222" s="389"/>
      <c r="CA222" s="389"/>
      <c r="CB222" s="389"/>
      <c r="CC222" s="389"/>
      <c r="CD222" s="389"/>
      <c r="CE222" s="389"/>
      <c r="CF222" s="389"/>
      <c r="CG222" s="389"/>
      <c r="CH222" s="389"/>
      <c r="CI222" s="389"/>
      <c r="CJ222" s="389"/>
      <c r="CK222" s="389"/>
      <c r="CL222" s="389"/>
      <c r="CM222" s="389"/>
      <c r="CN222" s="389"/>
      <c r="CO222" s="389"/>
      <c r="CP222" s="389"/>
      <c r="CQ222" s="389"/>
      <c r="CR222" s="389"/>
      <c r="CS222" s="389"/>
      <c r="CT222" s="389"/>
      <c r="CU222" s="389"/>
      <c r="CV222" s="389"/>
      <c r="CW222" s="389"/>
      <c r="CX222" s="389"/>
      <c r="CY222" s="389"/>
      <c r="CZ222" s="389"/>
      <c r="DA222" s="389"/>
      <c r="DB222" s="389"/>
      <c r="DC222" s="389"/>
      <c r="DD222" s="389"/>
      <c r="DE222" s="389"/>
      <c r="DF222" s="389"/>
      <c r="DG222" s="389"/>
      <c r="DH222" s="389"/>
      <c r="DI222" s="389"/>
      <c r="DJ222" s="389"/>
      <c r="DK222" s="389"/>
      <c r="DL222" s="389"/>
      <c r="DM222" s="389"/>
      <c r="DN222" s="389"/>
      <c r="DO222" s="389"/>
      <c r="DP222" s="389"/>
      <c r="DQ222" s="389"/>
      <c r="DR222" s="389"/>
      <c r="DS222" s="389"/>
      <c r="DT222" s="389"/>
      <c r="DU222" s="389"/>
      <c r="DV222" s="389"/>
      <c r="DW222" s="389"/>
      <c r="DX222" s="389"/>
      <c r="DY222" s="389"/>
      <c r="DZ222" s="389"/>
      <c r="EA222" s="389"/>
    </row>
    <row r="223" spans="2:131" s="372" customFormat="1" ht="30" customHeight="1" x14ac:dyDescent="0.35">
      <c r="B223" s="373" t="s">
        <v>1009</v>
      </c>
      <c r="C223" s="374" t="s">
        <v>803</v>
      </c>
      <c r="D223" s="375" t="s">
        <v>759</v>
      </c>
      <c r="E223" s="375" t="s">
        <v>759</v>
      </c>
      <c r="F223" s="383">
        <f>7+20/60+40/3600</f>
        <v>7.3444444444444441</v>
      </c>
      <c r="G223" s="383">
        <f>134+28/60+58/3600</f>
        <v>134.48277777777778</v>
      </c>
      <c r="H223" s="383">
        <f>7+20/60+49/3600</f>
        <v>7.3469444444444445</v>
      </c>
      <c r="I223" s="383">
        <f>134+28/60+49/3600</f>
        <v>134.48027777777779</v>
      </c>
      <c r="J223" s="375" t="s">
        <v>277</v>
      </c>
      <c r="K223" s="377" t="s">
        <v>421</v>
      </c>
      <c r="L223" s="375">
        <v>2011</v>
      </c>
      <c r="M223" s="378">
        <v>340</v>
      </c>
      <c r="N223" s="379">
        <v>7.3</v>
      </c>
      <c r="O223" s="375">
        <v>2</v>
      </c>
      <c r="P223" s="375" t="s">
        <v>83</v>
      </c>
      <c r="Q223" s="375" t="s">
        <v>275</v>
      </c>
      <c r="R223" s="375" t="s">
        <v>801</v>
      </c>
      <c r="S223" s="380" t="s">
        <v>732</v>
      </c>
      <c r="T223" s="154">
        <v>5</v>
      </c>
      <c r="U223" s="154">
        <v>4</v>
      </c>
      <c r="V223" s="154">
        <v>4</v>
      </c>
      <c r="W223" s="154">
        <v>5</v>
      </c>
      <c r="X223" s="154">
        <v>4</v>
      </c>
      <c r="Y223" s="154">
        <v>5</v>
      </c>
      <c r="Z223" s="154">
        <f t="shared" si="85"/>
        <v>92</v>
      </c>
      <c r="AA223" s="405">
        <f t="shared" si="68"/>
        <v>170000</v>
      </c>
      <c r="AB223" s="405">
        <f t="shared" si="69"/>
        <v>102000</v>
      </c>
      <c r="AC223" s="407">
        <f t="shared" si="70"/>
        <v>1500</v>
      </c>
      <c r="AD223" s="343"/>
      <c r="AE223" s="343"/>
      <c r="AF223" s="343"/>
      <c r="AG223" s="343"/>
      <c r="AH223" s="381"/>
      <c r="AI223" s="381"/>
      <c r="AJ223" s="381"/>
      <c r="AK223" s="381"/>
      <c r="AW223" s="217">
        <f t="shared" si="71"/>
        <v>5</v>
      </c>
      <c r="AX223" s="217">
        <f t="shared" si="72"/>
        <v>4</v>
      </c>
      <c r="AY223" s="217">
        <f t="shared" si="73"/>
        <v>4</v>
      </c>
      <c r="AZ223" s="217">
        <f t="shared" si="74"/>
        <v>5</v>
      </c>
      <c r="BA223" s="217">
        <f t="shared" si="75"/>
        <v>4</v>
      </c>
      <c r="BB223" s="217">
        <f t="shared" si="76"/>
        <v>5</v>
      </c>
      <c r="BC223" s="217">
        <f t="shared" si="77"/>
        <v>69</v>
      </c>
      <c r="BD223" s="217"/>
      <c r="BE223" s="217">
        <f t="shared" si="78"/>
        <v>5</v>
      </c>
      <c r="BF223" s="217">
        <f t="shared" si="79"/>
        <v>5</v>
      </c>
      <c r="BG223" s="217">
        <f t="shared" si="80"/>
        <v>5</v>
      </c>
      <c r="BH223" s="217">
        <f t="shared" si="81"/>
        <v>5</v>
      </c>
      <c r="BI223" s="217">
        <f t="shared" si="82"/>
        <v>5</v>
      </c>
      <c r="BJ223" s="217">
        <f t="shared" si="83"/>
        <v>5</v>
      </c>
      <c r="BK223" s="217">
        <f t="shared" si="84"/>
        <v>75</v>
      </c>
    </row>
    <row r="224" spans="2:131" s="372" customFormat="1" ht="30" customHeight="1" x14ac:dyDescent="0.35">
      <c r="B224" s="373" t="s">
        <v>1010</v>
      </c>
      <c r="C224" s="374" t="s">
        <v>805</v>
      </c>
      <c r="D224" s="375" t="s">
        <v>759</v>
      </c>
      <c r="E224" s="375" t="s">
        <v>759</v>
      </c>
      <c r="F224" s="383">
        <f>7+20/60+49/3600</f>
        <v>7.3469444444444445</v>
      </c>
      <c r="G224" s="383">
        <f>134+28/60+49/3600</f>
        <v>134.48027777777779</v>
      </c>
      <c r="H224" s="383">
        <f>7+21/60+3/3600</f>
        <v>7.3508333333333331</v>
      </c>
      <c r="I224" s="383">
        <f>134+28/60+46/3600</f>
        <v>134.47944444444445</v>
      </c>
      <c r="J224" s="375" t="s">
        <v>277</v>
      </c>
      <c r="K224" s="377" t="s">
        <v>421</v>
      </c>
      <c r="L224" s="375">
        <v>2012</v>
      </c>
      <c r="M224" s="378">
        <v>460</v>
      </c>
      <c r="N224" s="379">
        <v>7.3</v>
      </c>
      <c r="O224" s="375">
        <v>2</v>
      </c>
      <c r="P224" s="375" t="s">
        <v>83</v>
      </c>
      <c r="Q224" s="375" t="s">
        <v>275</v>
      </c>
      <c r="R224" s="375" t="s">
        <v>801</v>
      </c>
      <c r="S224" s="380" t="s">
        <v>732</v>
      </c>
      <c r="T224" s="154">
        <v>5</v>
      </c>
      <c r="U224" s="154">
        <v>4</v>
      </c>
      <c r="V224" s="154">
        <v>4</v>
      </c>
      <c r="W224" s="154">
        <v>5</v>
      </c>
      <c r="X224" s="154">
        <v>4</v>
      </c>
      <c r="Y224" s="154">
        <v>5</v>
      </c>
      <c r="Z224" s="154">
        <f t="shared" si="85"/>
        <v>92</v>
      </c>
      <c r="AA224" s="405">
        <f t="shared" si="68"/>
        <v>230000</v>
      </c>
      <c r="AB224" s="405">
        <f t="shared" si="69"/>
        <v>138000</v>
      </c>
      <c r="AC224" s="407">
        <f t="shared" si="70"/>
        <v>2100</v>
      </c>
      <c r="AD224" s="343"/>
      <c r="AE224" s="343"/>
      <c r="AF224" s="343"/>
      <c r="AG224" s="343"/>
      <c r="AH224" s="381"/>
      <c r="AI224" s="381"/>
      <c r="AJ224" s="381"/>
      <c r="AK224" s="381"/>
      <c r="AW224" s="217">
        <f t="shared" si="71"/>
        <v>5</v>
      </c>
      <c r="AX224" s="217">
        <f t="shared" si="72"/>
        <v>4</v>
      </c>
      <c r="AY224" s="217">
        <f t="shared" si="73"/>
        <v>4</v>
      </c>
      <c r="AZ224" s="217">
        <f t="shared" si="74"/>
        <v>5</v>
      </c>
      <c r="BA224" s="217">
        <f t="shared" si="75"/>
        <v>4</v>
      </c>
      <c r="BB224" s="217">
        <f t="shared" si="76"/>
        <v>5</v>
      </c>
      <c r="BC224" s="217">
        <f t="shared" si="77"/>
        <v>69</v>
      </c>
      <c r="BD224" s="217"/>
      <c r="BE224" s="217">
        <f t="shared" si="78"/>
        <v>5</v>
      </c>
      <c r="BF224" s="217">
        <f t="shared" si="79"/>
        <v>5</v>
      </c>
      <c r="BG224" s="217">
        <f t="shared" si="80"/>
        <v>5</v>
      </c>
      <c r="BH224" s="217">
        <f t="shared" si="81"/>
        <v>5</v>
      </c>
      <c r="BI224" s="217">
        <f t="shared" si="82"/>
        <v>5</v>
      </c>
      <c r="BJ224" s="217">
        <f t="shared" si="83"/>
        <v>5</v>
      </c>
      <c r="BK224" s="217">
        <f t="shared" si="84"/>
        <v>75</v>
      </c>
    </row>
    <row r="225" spans="2:63" s="372" customFormat="1" ht="30" customHeight="1" x14ac:dyDescent="0.35">
      <c r="B225" s="373" t="s">
        <v>1011</v>
      </c>
      <c r="C225" s="374" t="s">
        <v>807</v>
      </c>
      <c r="D225" s="375" t="s">
        <v>788</v>
      </c>
      <c r="E225" s="375" t="s">
        <v>808</v>
      </c>
      <c r="F225" s="383">
        <f>7+20/60+32/3600</f>
        <v>7.3422222222222215</v>
      </c>
      <c r="G225" s="383">
        <f>134+28/60+33/3600</f>
        <v>134.47583333333333</v>
      </c>
      <c r="H225" s="383">
        <f>7+20/60+24/3600</f>
        <v>7.34</v>
      </c>
      <c r="I225" s="383">
        <f>134+28/60+33/3600</f>
        <v>134.47583333333333</v>
      </c>
      <c r="J225" s="375" t="s">
        <v>277</v>
      </c>
      <c r="K225" s="377" t="s">
        <v>421</v>
      </c>
      <c r="L225" s="375">
        <v>2012</v>
      </c>
      <c r="M225" s="378">
        <v>275</v>
      </c>
      <c r="N225" s="379">
        <v>5.5</v>
      </c>
      <c r="O225" s="375">
        <v>2</v>
      </c>
      <c r="P225" s="375" t="s">
        <v>83</v>
      </c>
      <c r="Q225" s="375" t="s">
        <v>275</v>
      </c>
      <c r="R225" s="375" t="s">
        <v>801</v>
      </c>
      <c r="S225" s="380" t="s">
        <v>92</v>
      </c>
      <c r="T225" s="154">
        <v>5</v>
      </c>
      <c r="U225" s="154">
        <v>4</v>
      </c>
      <c r="V225" s="154">
        <v>4</v>
      </c>
      <c r="W225" s="154">
        <v>5</v>
      </c>
      <c r="X225" s="154" t="s">
        <v>311</v>
      </c>
      <c r="Y225" s="154">
        <v>5</v>
      </c>
      <c r="Z225" s="154">
        <f t="shared" si="85"/>
        <v>93</v>
      </c>
      <c r="AA225" s="405">
        <f t="shared" si="68"/>
        <v>137500</v>
      </c>
      <c r="AB225" s="405">
        <f t="shared" si="69"/>
        <v>82500</v>
      </c>
      <c r="AC225" s="407">
        <f t="shared" si="70"/>
        <v>1200</v>
      </c>
      <c r="AD225" s="343"/>
      <c r="AE225" s="343"/>
      <c r="AF225" s="343"/>
      <c r="AG225" s="343"/>
      <c r="AH225" s="381"/>
      <c r="AI225" s="381"/>
      <c r="AJ225" s="381"/>
      <c r="AK225" s="381"/>
      <c r="AW225" s="217">
        <f t="shared" si="71"/>
        <v>5</v>
      </c>
      <c r="AX225" s="217">
        <f t="shared" si="72"/>
        <v>4</v>
      </c>
      <c r="AY225" s="217">
        <f t="shared" si="73"/>
        <v>4</v>
      </c>
      <c r="AZ225" s="217">
        <f t="shared" si="74"/>
        <v>5</v>
      </c>
      <c r="BA225" s="217">
        <f t="shared" si="75"/>
        <v>0</v>
      </c>
      <c r="BB225" s="217">
        <f t="shared" si="76"/>
        <v>5</v>
      </c>
      <c r="BC225" s="217">
        <f t="shared" si="77"/>
        <v>65</v>
      </c>
      <c r="BD225" s="217"/>
      <c r="BE225" s="217">
        <f t="shared" si="78"/>
        <v>5</v>
      </c>
      <c r="BF225" s="217">
        <f t="shared" si="79"/>
        <v>5</v>
      </c>
      <c r="BG225" s="217">
        <f t="shared" si="80"/>
        <v>5</v>
      </c>
      <c r="BH225" s="217">
        <f t="shared" si="81"/>
        <v>5</v>
      </c>
      <c r="BI225" s="217">
        <f t="shared" si="82"/>
        <v>0</v>
      </c>
      <c r="BJ225" s="217">
        <f t="shared" si="83"/>
        <v>5</v>
      </c>
      <c r="BK225" s="217">
        <f t="shared" si="84"/>
        <v>70</v>
      </c>
    </row>
    <row r="226" spans="2:63" s="372" customFormat="1" ht="30" customHeight="1" x14ac:dyDescent="0.35">
      <c r="B226" s="373" t="s">
        <v>1117</v>
      </c>
      <c r="C226" s="374" t="s">
        <v>1118</v>
      </c>
      <c r="D226" s="375" t="s">
        <v>788</v>
      </c>
      <c r="E226" s="375" t="s">
        <v>808</v>
      </c>
      <c r="F226" s="383">
        <f>7+20/60+24/3600</f>
        <v>7.34</v>
      </c>
      <c r="G226" s="383">
        <f>134+28/60+33/3600</f>
        <v>134.47583333333333</v>
      </c>
      <c r="H226" s="383">
        <f>7+20/60+16/3600</f>
        <v>7.3377777777777773</v>
      </c>
      <c r="I226" s="383">
        <f>134+28/60+34/3600</f>
        <v>134.47611111111112</v>
      </c>
      <c r="J226" s="375" t="s">
        <v>277</v>
      </c>
      <c r="K226" s="377" t="s">
        <v>421</v>
      </c>
      <c r="L226" s="375">
        <v>2015</v>
      </c>
      <c r="M226" s="378">
        <v>295</v>
      </c>
      <c r="N226" s="379">
        <v>5.5</v>
      </c>
      <c r="O226" s="375">
        <v>2</v>
      </c>
      <c r="P226" s="375" t="s">
        <v>83</v>
      </c>
      <c r="Q226" s="375" t="s">
        <v>275</v>
      </c>
      <c r="R226" s="375" t="s">
        <v>801</v>
      </c>
      <c r="S226" s="380" t="s">
        <v>92</v>
      </c>
      <c r="T226" s="154">
        <v>5</v>
      </c>
      <c r="U226" s="154">
        <v>4</v>
      </c>
      <c r="V226" s="154">
        <v>4</v>
      </c>
      <c r="W226" s="154">
        <v>5</v>
      </c>
      <c r="X226" s="154" t="s">
        <v>311</v>
      </c>
      <c r="Y226" s="154">
        <v>5</v>
      </c>
      <c r="Z226" s="154">
        <f t="shared" si="85"/>
        <v>93</v>
      </c>
      <c r="AA226" s="405">
        <f t="shared" si="68"/>
        <v>147500</v>
      </c>
      <c r="AB226" s="405">
        <f t="shared" si="69"/>
        <v>88500</v>
      </c>
      <c r="AC226" s="407">
        <f t="shared" si="70"/>
        <v>1300</v>
      </c>
      <c r="AD226" s="343"/>
      <c r="AE226" s="343"/>
      <c r="AF226" s="343"/>
      <c r="AG226" s="343"/>
      <c r="AH226" s="381"/>
      <c r="AI226" s="381"/>
      <c r="AJ226" s="381"/>
      <c r="AK226" s="381"/>
      <c r="AW226" s="217">
        <f t="shared" si="71"/>
        <v>5</v>
      </c>
      <c r="AX226" s="217">
        <f t="shared" si="72"/>
        <v>4</v>
      </c>
      <c r="AY226" s="217">
        <f t="shared" si="73"/>
        <v>4</v>
      </c>
      <c r="AZ226" s="217">
        <f t="shared" si="74"/>
        <v>5</v>
      </c>
      <c r="BA226" s="217">
        <f t="shared" si="75"/>
        <v>0</v>
      </c>
      <c r="BB226" s="217">
        <f t="shared" si="76"/>
        <v>5</v>
      </c>
      <c r="BC226" s="217">
        <f t="shared" si="77"/>
        <v>65</v>
      </c>
      <c r="BD226" s="217"/>
      <c r="BE226" s="217">
        <f t="shared" si="78"/>
        <v>5</v>
      </c>
      <c r="BF226" s="217">
        <f t="shared" si="79"/>
        <v>5</v>
      </c>
      <c r="BG226" s="217">
        <f t="shared" si="80"/>
        <v>5</v>
      </c>
      <c r="BH226" s="217">
        <f t="shared" si="81"/>
        <v>5</v>
      </c>
      <c r="BI226" s="217">
        <f t="shared" si="82"/>
        <v>0</v>
      </c>
      <c r="BJ226" s="217">
        <f t="shared" si="83"/>
        <v>5</v>
      </c>
      <c r="BK226" s="217">
        <f t="shared" si="84"/>
        <v>70</v>
      </c>
    </row>
    <row r="227" spans="2:63" ht="30" customHeight="1" x14ac:dyDescent="0.3">
      <c r="B227" s="373" t="s">
        <v>1117</v>
      </c>
      <c r="C227" s="374" t="s">
        <v>1119</v>
      </c>
      <c r="D227" s="375" t="s">
        <v>956</v>
      </c>
      <c r="E227" s="375" t="s">
        <v>808</v>
      </c>
      <c r="F227" s="375">
        <f>7+20.50458/60</f>
        <v>7.3417430000000001</v>
      </c>
      <c r="G227" s="375">
        <f>134+28.62854/60</f>
        <v>134.47714233333335</v>
      </c>
      <c r="H227" s="375">
        <f>7+20.39357/60</f>
        <v>7.3398928333333338</v>
      </c>
      <c r="I227" s="375">
        <f>134+28.61298/60</f>
        <v>134.47688299999999</v>
      </c>
      <c r="J227" s="375" t="s">
        <v>97</v>
      </c>
      <c r="K227" s="375" t="s">
        <v>545</v>
      </c>
      <c r="L227" s="375" t="s">
        <v>311</v>
      </c>
      <c r="M227" s="378">
        <v>224</v>
      </c>
      <c r="N227" s="375">
        <v>3.7</v>
      </c>
      <c r="O227" s="375">
        <v>1</v>
      </c>
      <c r="P227" s="375" t="s">
        <v>83</v>
      </c>
      <c r="Q227" s="375" t="s">
        <v>275</v>
      </c>
      <c r="R227" s="375" t="s">
        <v>1120</v>
      </c>
      <c r="S227" s="380" t="s">
        <v>92</v>
      </c>
      <c r="T227" s="154">
        <v>3</v>
      </c>
      <c r="U227" s="154">
        <v>3</v>
      </c>
      <c r="V227" s="154">
        <v>3</v>
      </c>
      <c r="W227" s="154">
        <v>2</v>
      </c>
      <c r="X227" s="154" t="s">
        <v>311</v>
      </c>
      <c r="Y227" s="154">
        <v>3</v>
      </c>
      <c r="Z227" s="154">
        <f t="shared" si="85"/>
        <v>59</v>
      </c>
      <c r="AA227" s="405">
        <f t="shared" si="68"/>
        <v>112000</v>
      </c>
      <c r="AB227" s="405">
        <f t="shared" si="69"/>
        <v>67200</v>
      </c>
      <c r="AC227" s="407">
        <f t="shared" si="70"/>
        <v>1000</v>
      </c>
      <c r="AD227" s="343"/>
      <c r="AE227" s="343"/>
      <c r="AF227" s="343"/>
      <c r="AG227" s="343"/>
      <c r="AH227" s="381"/>
      <c r="AI227" s="381"/>
      <c r="AJ227" s="381"/>
      <c r="AK227" s="381"/>
      <c r="AW227" s="217">
        <f t="shared" si="71"/>
        <v>3</v>
      </c>
      <c r="AX227" s="217">
        <f t="shared" si="72"/>
        <v>3</v>
      </c>
      <c r="AY227" s="217">
        <f t="shared" si="73"/>
        <v>3</v>
      </c>
      <c r="AZ227" s="217">
        <f t="shared" si="74"/>
        <v>2</v>
      </c>
      <c r="BA227" s="217">
        <f t="shared" si="75"/>
        <v>0</v>
      </c>
      <c r="BB227" s="217">
        <f t="shared" si="76"/>
        <v>3</v>
      </c>
      <c r="BC227" s="217">
        <f t="shared" si="77"/>
        <v>41</v>
      </c>
      <c r="BD227" s="217"/>
      <c r="BE227" s="217">
        <f t="shared" si="78"/>
        <v>5</v>
      </c>
      <c r="BF227" s="217">
        <f t="shared" si="79"/>
        <v>5</v>
      </c>
      <c r="BG227" s="217">
        <f t="shared" si="80"/>
        <v>5</v>
      </c>
      <c r="BH227" s="217">
        <f t="shared" si="81"/>
        <v>5</v>
      </c>
      <c r="BI227" s="217">
        <f t="shared" si="82"/>
        <v>0</v>
      </c>
      <c r="BJ227" s="217">
        <f t="shared" si="83"/>
        <v>5</v>
      </c>
      <c r="BK227" s="217">
        <f t="shared" si="84"/>
        <v>70</v>
      </c>
    </row>
    <row r="228" spans="2:63" ht="30" customHeight="1" x14ac:dyDescent="0.3">
      <c r="B228" s="373" t="s">
        <v>1121</v>
      </c>
      <c r="C228" s="391" t="s">
        <v>1110</v>
      </c>
      <c r="D228" s="375" t="s">
        <v>808</v>
      </c>
      <c r="E228" s="375" t="s">
        <v>808</v>
      </c>
      <c r="F228" s="377">
        <f>7+20.1039/60</f>
        <v>7.3350650000000002</v>
      </c>
      <c r="G228" s="377">
        <f>134+28.3927/60</f>
        <v>134.47321166666666</v>
      </c>
      <c r="H228" s="377">
        <f>7+20.12495/60</f>
        <v>7.3354158333333332</v>
      </c>
      <c r="I228" s="377">
        <f>134+28.6084/60</f>
        <v>134.47680666666668</v>
      </c>
      <c r="J228" s="375" t="s">
        <v>97</v>
      </c>
      <c r="K228" s="375" t="s">
        <v>545</v>
      </c>
      <c r="L228" s="375" t="s">
        <v>311</v>
      </c>
      <c r="M228" s="385">
        <v>146</v>
      </c>
      <c r="N228" s="377">
        <v>4</v>
      </c>
      <c r="O228" s="377">
        <v>2</v>
      </c>
      <c r="P228" s="375" t="s">
        <v>83</v>
      </c>
      <c r="Q228" s="375" t="s">
        <v>275</v>
      </c>
      <c r="R228" s="375" t="s">
        <v>1120</v>
      </c>
      <c r="S228" s="380" t="s">
        <v>92</v>
      </c>
      <c r="T228" s="329">
        <v>3</v>
      </c>
      <c r="U228" s="329">
        <v>4</v>
      </c>
      <c r="V228" s="329">
        <v>4</v>
      </c>
      <c r="W228" s="329">
        <v>3</v>
      </c>
      <c r="X228" s="154" t="s">
        <v>311</v>
      </c>
      <c r="Y228" s="154">
        <v>5</v>
      </c>
      <c r="Z228" s="154">
        <f t="shared" si="85"/>
        <v>79</v>
      </c>
      <c r="AA228" s="405">
        <f t="shared" si="68"/>
        <v>73000</v>
      </c>
      <c r="AB228" s="405">
        <f t="shared" si="69"/>
        <v>43800</v>
      </c>
      <c r="AC228" s="407">
        <f t="shared" si="70"/>
        <v>700</v>
      </c>
      <c r="AD228" s="343"/>
      <c r="AE228" s="343"/>
      <c r="AF228" s="343"/>
      <c r="AG228" s="343"/>
      <c r="AH228" s="381"/>
      <c r="AI228" s="381"/>
      <c r="AJ228" s="381"/>
      <c r="AK228" s="381"/>
      <c r="AW228" s="217">
        <f t="shared" si="71"/>
        <v>3</v>
      </c>
      <c r="AX228" s="217">
        <f t="shared" si="72"/>
        <v>4</v>
      </c>
      <c r="AY228" s="217">
        <f t="shared" si="73"/>
        <v>4</v>
      </c>
      <c r="AZ228" s="217">
        <f t="shared" si="74"/>
        <v>3</v>
      </c>
      <c r="BA228" s="217">
        <f t="shared" si="75"/>
        <v>0</v>
      </c>
      <c r="BB228" s="217">
        <f t="shared" si="76"/>
        <v>5</v>
      </c>
      <c r="BC228" s="217">
        <f t="shared" si="77"/>
        <v>55</v>
      </c>
      <c r="BD228" s="217"/>
      <c r="BE228" s="217">
        <f t="shared" si="78"/>
        <v>5</v>
      </c>
      <c r="BF228" s="217">
        <f t="shared" si="79"/>
        <v>5</v>
      </c>
      <c r="BG228" s="217">
        <f t="shared" si="80"/>
        <v>5</v>
      </c>
      <c r="BH228" s="217">
        <f t="shared" si="81"/>
        <v>5</v>
      </c>
      <c r="BI228" s="217">
        <f t="shared" si="82"/>
        <v>0</v>
      </c>
      <c r="BJ228" s="217">
        <f t="shared" si="83"/>
        <v>5</v>
      </c>
      <c r="BK228" s="217">
        <f t="shared" si="84"/>
        <v>70</v>
      </c>
    </row>
    <row r="229" spans="2:63" ht="30" customHeight="1" x14ac:dyDescent="0.3">
      <c r="B229" s="373" t="s">
        <v>1122</v>
      </c>
      <c r="C229" s="391" t="s">
        <v>1111</v>
      </c>
      <c r="D229" s="375" t="s">
        <v>808</v>
      </c>
      <c r="E229" s="375" t="s">
        <v>808</v>
      </c>
      <c r="F229" s="377">
        <f>7+20.1188/60</f>
        <v>7.3353133333333336</v>
      </c>
      <c r="G229" s="377">
        <f>134+28.4023/60</f>
        <v>134.47337166666668</v>
      </c>
      <c r="H229" s="377">
        <f>7+20.1163/60</f>
        <v>7.3352716666666664</v>
      </c>
      <c r="I229" s="377">
        <f>134+28.4293/60</f>
        <v>134.47382166666668</v>
      </c>
      <c r="J229" s="375" t="s">
        <v>97</v>
      </c>
      <c r="K229" s="375" t="s">
        <v>545</v>
      </c>
      <c r="L229" s="375" t="s">
        <v>311</v>
      </c>
      <c r="M229" s="385">
        <v>104</v>
      </c>
      <c r="N229" s="377">
        <v>3.8</v>
      </c>
      <c r="O229" s="377">
        <v>1</v>
      </c>
      <c r="P229" s="377" t="s">
        <v>83</v>
      </c>
      <c r="Q229" s="375" t="s">
        <v>275</v>
      </c>
      <c r="R229" s="375" t="s">
        <v>1120</v>
      </c>
      <c r="S229" s="380" t="s">
        <v>92</v>
      </c>
      <c r="T229" s="329">
        <v>3</v>
      </c>
      <c r="U229" s="329">
        <v>3</v>
      </c>
      <c r="V229" s="329">
        <v>3</v>
      </c>
      <c r="W229" s="329">
        <v>3</v>
      </c>
      <c r="X229" s="154" t="s">
        <v>311</v>
      </c>
      <c r="Y229" s="154">
        <v>5</v>
      </c>
      <c r="Z229" s="154">
        <f t="shared" si="85"/>
        <v>72</v>
      </c>
      <c r="AA229" s="405">
        <f t="shared" si="68"/>
        <v>52000</v>
      </c>
      <c r="AB229" s="405">
        <f t="shared" si="69"/>
        <v>31200</v>
      </c>
      <c r="AC229" s="407">
        <f t="shared" si="70"/>
        <v>500</v>
      </c>
      <c r="AD229" s="343"/>
      <c r="AE229" s="343"/>
      <c r="AF229" s="343"/>
      <c r="AG229" s="343"/>
      <c r="AH229" s="381"/>
      <c r="AI229" s="381"/>
      <c r="AJ229" s="381"/>
      <c r="AK229" s="381"/>
      <c r="AW229" s="217">
        <f t="shared" si="71"/>
        <v>3</v>
      </c>
      <c r="AX229" s="217">
        <f t="shared" si="72"/>
        <v>3</v>
      </c>
      <c r="AY229" s="217">
        <f t="shared" si="73"/>
        <v>3</v>
      </c>
      <c r="AZ229" s="217">
        <f t="shared" si="74"/>
        <v>3</v>
      </c>
      <c r="BA229" s="217">
        <f t="shared" si="75"/>
        <v>0</v>
      </c>
      <c r="BB229" s="217">
        <f t="shared" si="76"/>
        <v>5</v>
      </c>
      <c r="BC229" s="217">
        <f t="shared" si="77"/>
        <v>50</v>
      </c>
      <c r="BD229" s="217"/>
      <c r="BE229" s="217">
        <f t="shared" si="78"/>
        <v>5</v>
      </c>
      <c r="BF229" s="217">
        <f t="shared" si="79"/>
        <v>5</v>
      </c>
      <c r="BG229" s="217">
        <f t="shared" si="80"/>
        <v>5</v>
      </c>
      <c r="BH229" s="217">
        <f t="shared" si="81"/>
        <v>5</v>
      </c>
      <c r="BI229" s="217">
        <f t="shared" si="82"/>
        <v>0</v>
      </c>
      <c r="BJ229" s="217">
        <f t="shared" si="83"/>
        <v>5</v>
      </c>
      <c r="BK229" s="217">
        <f t="shared" si="84"/>
        <v>70</v>
      </c>
    </row>
    <row r="230" spans="2:63" ht="30" customHeight="1" x14ac:dyDescent="0.3">
      <c r="B230" s="373" t="s">
        <v>1124</v>
      </c>
      <c r="C230" s="391" t="s">
        <v>1123</v>
      </c>
      <c r="D230" s="375" t="s">
        <v>808</v>
      </c>
      <c r="E230" s="375" t="s">
        <v>808</v>
      </c>
      <c r="F230" s="377">
        <f>7+20.1819/60</f>
        <v>7.3363649999999998</v>
      </c>
      <c r="G230" s="377">
        <f>134+28.2905/60</f>
        <v>134.47150833333333</v>
      </c>
      <c r="H230" s="377">
        <f>7+20.1329/60</f>
        <v>7.3355483333333336</v>
      </c>
      <c r="I230" s="377">
        <f>134+28.3276/60</f>
        <v>134.47212666666667</v>
      </c>
      <c r="J230" s="375" t="s">
        <v>97</v>
      </c>
      <c r="K230" s="377" t="s">
        <v>421</v>
      </c>
      <c r="L230" s="377">
        <v>2016</v>
      </c>
      <c r="M230" s="385">
        <v>164</v>
      </c>
      <c r="N230" s="377">
        <v>5.5</v>
      </c>
      <c r="O230" s="377">
        <v>2</v>
      </c>
      <c r="P230" s="377" t="s">
        <v>83</v>
      </c>
      <c r="Q230" s="375" t="s">
        <v>275</v>
      </c>
      <c r="R230" s="375" t="s">
        <v>1120</v>
      </c>
      <c r="S230" s="380" t="s">
        <v>92</v>
      </c>
      <c r="T230" s="329">
        <v>5</v>
      </c>
      <c r="U230" s="329">
        <v>4</v>
      </c>
      <c r="V230" s="329">
        <v>4</v>
      </c>
      <c r="W230" s="329">
        <v>4</v>
      </c>
      <c r="X230" s="154" t="s">
        <v>311</v>
      </c>
      <c r="Y230" s="154">
        <v>5</v>
      </c>
      <c r="Z230" s="154">
        <f t="shared" si="85"/>
        <v>92</v>
      </c>
      <c r="AA230" s="405">
        <f t="shared" si="68"/>
        <v>82000</v>
      </c>
      <c r="AB230" s="405">
        <f t="shared" si="69"/>
        <v>49200</v>
      </c>
      <c r="AC230" s="407">
        <f t="shared" si="70"/>
        <v>700</v>
      </c>
      <c r="AD230" s="343"/>
      <c r="AE230" s="343"/>
      <c r="AF230" s="343"/>
      <c r="AG230" s="343"/>
      <c r="AH230" s="381"/>
      <c r="AI230" s="381"/>
      <c r="AJ230" s="381"/>
      <c r="AK230" s="381"/>
      <c r="AW230" s="217">
        <f t="shared" si="71"/>
        <v>5</v>
      </c>
      <c r="AX230" s="217">
        <f t="shared" si="72"/>
        <v>4</v>
      </c>
      <c r="AY230" s="217">
        <f t="shared" si="73"/>
        <v>4</v>
      </c>
      <c r="AZ230" s="217">
        <f t="shared" si="74"/>
        <v>4</v>
      </c>
      <c r="BA230" s="217">
        <f t="shared" si="75"/>
        <v>0</v>
      </c>
      <c r="BB230" s="217">
        <f t="shared" si="76"/>
        <v>5</v>
      </c>
      <c r="BC230" s="217">
        <f t="shared" si="77"/>
        <v>64</v>
      </c>
      <c r="BD230" s="217"/>
      <c r="BE230" s="217">
        <f t="shared" si="78"/>
        <v>5</v>
      </c>
      <c r="BF230" s="217">
        <f t="shared" si="79"/>
        <v>5</v>
      </c>
      <c r="BG230" s="217">
        <f t="shared" si="80"/>
        <v>5</v>
      </c>
      <c r="BH230" s="217">
        <f t="shared" si="81"/>
        <v>5</v>
      </c>
      <c r="BI230" s="217">
        <f t="shared" si="82"/>
        <v>0</v>
      </c>
      <c r="BJ230" s="217">
        <f t="shared" si="83"/>
        <v>5</v>
      </c>
      <c r="BK230" s="217">
        <f t="shared" si="84"/>
        <v>70</v>
      </c>
    </row>
    <row r="231" spans="2:63" ht="30" customHeight="1" x14ac:dyDescent="0.3">
      <c r="B231" s="373" t="s">
        <v>1125</v>
      </c>
      <c r="C231" s="391" t="s">
        <v>1126</v>
      </c>
      <c r="D231" s="375" t="s">
        <v>808</v>
      </c>
      <c r="E231" s="375" t="s">
        <v>808</v>
      </c>
      <c r="F231" s="377">
        <f>7+20.17118/60</f>
        <v>7.336186333333333</v>
      </c>
      <c r="G231" s="377">
        <f>134+28.42621/60</f>
        <v>134.47377016666667</v>
      </c>
      <c r="H231" s="377">
        <f>7+20.2862/60</f>
        <v>7.3381033333333336</v>
      </c>
      <c r="I231" s="377">
        <f>134+28.36212/60</f>
        <v>134.472702</v>
      </c>
      <c r="J231" s="375" t="s">
        <v>97</v>
      </c>
      <c r="K231" s="377" t="s">
        <v>421</v>
      </c>
      <c r="L231" s="377">
        <v>2016</v>
      </c>
      <c r="M231" s="385">
        <v>250</v>
      </c>
      <c r="N231" s="377">
        <v>4.3</v>
      </c>
      <c r="O231" s="377">
        <v>1</v>
      </c>
      <c r="P231" s="377" t="s">
        <v>83</v>
      </c>
      <c r="Q231" s="375" t="s">
        <v>275</v>
      </c>
      <c r="R231" s="375" t="s">
        <v>1120</v>
      </c>
      <c r="S231" s="380" t="s">
        <v>92</v>
      </c>
      <c r="T231" s="329">
        <v>5</v>
      </c>
      <c r="U231" s="329">
        <v>5</v>
      </c>
      <c r="V231" s="329">
        <v>5</v>
      </c>
      <c r="W231" s="329">
        <v>3</v>
      </c>
      <c r="X231" s="154" t="s">
        <v>311</v>
      </c>
      <c r="Y231" s="329">
        <v>5</v>
      </c>
      <c r="Z231" s="154">
        <f t="shared" si="85"/>
        <v>98</v>
      </c>
      <c r="AA231" s="405">
        <f t="shared" si="68"/>
        <v>125000</v>
      </c>
      <c r="AB231" s="405">
        <f t="shared" si="69"/>
        <v>75000</v>
      </c>
      <c r="AC231" s="407">
        <f t="shared" si="70"/>
        <v>1100</v>
      </c>
      <c r="AD231" s="343"/>
      <c r="AE231" s="343"/>
      <c r="AF231" s="343"/>
      <c r="AG231" s="343"/>
      <c r="AH231" s="381"/>
      <c r="AI231" s="381"/>
      <c r="AJ231" s="381"/>
      <c r="AK231" s="381"/>
      <c r="AW231" s="217">
        <f t="shared" si="71"/>
        <v>5</v>
      </c>
      <c r="AX231" s="217">
        <f t="shared" si="72"/>
        <v>5</v>
      </c>
      <c r="AY231" s="217">
        <f t="shared" si="73"/>
        <v>5</v>
      </c>
      <c r="AZ231" s="217">
        <f t="shared" si="74"/>
        <v>3</v>
      </c>
      <c r="BA231" s="217">
        <f t="shared" si="75"/>
        <v>0</v>
      </c>
      <c r="BB231" s="217">
        <f t="shared" si="76"/>
        <v>5</v>
      </c>
      <c r="BC231" s="217">
        <f t="shared" si="77"/>
        <v>68</v>
      </c>
      <c r="BD231" s="217"/>
      <c r="BE231" s="217">
        <f t="shared" si="78"/>
        <v>5</v>
      </c>
      <c r="BF231" s="217">
        <f t="shared" si="79"/>
        <v>5</v>
      </c>
      <c r="BG231" s="217">
        <f t="shared" si="80"/>
        <v>5</v>
      </c>
      <c r="BH231" s="217">
        <f t="shared" si="81"/>
        <v>5</v>
      </c>
      <c r="BI231" s="217">
        <f t="shared" si="82"/>
        <v>0</v>
      </c>
      <c r="BJ231" s="217">
        <f t="shared" si="83"/>
        <v>5</v>
      </c>
      <c r="BK231" s="217">
        <f t="shared" si="84"/>
        <v>70</v>
      </c>
    </row>
    <row r="232" spans="2:63" ht="30" customHeight="1" x14ac:dyDescent="0.3">
      <c r="B232" s="373" t="s">
        <v>1127</v>
      </c>
      <c r="C232" s="391" t="s">
        <v>1128</v>
      </c>
      <c r="D232" s="375" t="s">
        <v>808</v>
      </c>
      <c r="E232" s="375" t="s">
        <v>808</v>
      </c>
      <c r="F232" s="377">
        <f>7+20.13104/60</f>
        <v>7.3355173333333337</v>
      </c>
      <c r="G232" s="377">
        <f>134+28.50494/60</f>
        <v>134.47508233333335</v>
      </c>
      <c r="H232" s="377">
        <f>7+20.12564/60</f>
        <v>7.3354273333333335</v>
      </c>
      <c r="I232" s="377">
        <f>134+28.38043/60</f>
        <v>134.47300716666666</v>
      </c>
      <c r="J232" s="375" t="s">
        <v>97</v>
      </c>
      <c r="K232" s="377" t="s">
        <v>421</v>
      </c>
      <c r="L232" s="377">
        <v>2015</v>
      </c>
      <c r="M232" s="385">
        <v>313</v>
      </c>
      <c r="N232" s="377">
        <v>5.5</v>
      </c>
      <c r="O232" s="377">
        <v>2</v>
      </c>
      <c r="P232" s="377" t="s">
        <v>83</v>
      </c>
      <c r="Q232" s="375" t="s">
        <v>275</v>
      </c>
      <c r="R232" s="375" t="s">
        <v>1129</v>
      </c>
      <c r="S232" s="380" t="s">
        <v>92</v>
      </c>
      <c r="T232" s="329">
        <v>5</v>
      </c>
      <c r="U232" s="329">
        <v>5</v>
      </c>
      <c r="V232" s="329">
        <v>3</v>
      </c>
      <c r="W232" s="329">
        <v>3</v>
      </c>
      <c r="X232" s="154" t="s">
        <v>311</v>
      </c>
      <c r="Y232" s="329">
        <v>5</v>
      </c>
      <c r="Z232" s="154">
        <f t="shared" si="85"/>
        <v>95</v>
      </c>
      <c r="AA232" s="405">
        <f t="shared" si="68"/>
        <v>156500</v>
      </c>
      <c r="AB232" s="405">
        <f t="shared" si="69"/>
        <v>93900</v>
      </c>
      <c r="AC232" s="407">
        <f t="shared" si="70"/>
        <v>1400</v>
      </c>
      <c r="AD232" s="343"/>
      <c r="AE232" s="343"/>
      <c r="AF232" s="343"/>
      <c r="AG232" s="343"/>
      <c r="AH232" s="381"/>
      <c r="AI232" s="381"/>
      <c r="AJ232" s="381"/>
      <c r="AK232" s="381"/>
      <c r="AW232" s="217">
        <f t="shared" si="71"/>
        <v>5</v>
      </c>
      <c r="AX232" s="217">
        <f t="shared" si="72"/>
        <v>5</v>
      </c>
      <c r="AY232" s="217">
        <f t="shared" si="73"/>
        <v>3</v>
      </c>
      <c r="AZ232" s="217">
        <f t="shared" si="74"/>
        <v>3</v>
      </c>
      <c r="BA232" s="217">
        <f t="shared" si="75"/>
        <v>0</v>
      </c>
      <c r="BB232" s="217">
        <f t="shared" si="76"/>
        <v>5</v>
      </c>
      <c r="BC232" s="217">
        <f t="shared" si="77"/>
        <v>66</v>
      </c>
      <c r="BD232" s="217"/>
      <c r="BE232" s="217">
        <f t="shared" si="78"/>
        <v>5</v>
      </c>
      <c r="BF232" s="217">
        <f t="shared" si="79"/>
        <v>5</v>
      </c>
      <c r="BG232" s="217">
        <f t="shared" si="80"/>
        <v>5</v>
      </c>
      <c r="BH232" s="217">
        <f t="shared" si="81"/>
        <v>5</v>
      </c>
      <c r="BI232" s="217">
        <f t="shared" si="82"/>
        <v>0</v>
      </c>
      <c r="BJ232" s="217">
        <f t="shared" si="83"/>
        <v>5</v>
      </c>
      <c r="BK232" s="217">
        <f t="shared" si="84"/>
        <v>70</v>
      </c>
    </row>
    <row r="233" spans="2:63" ht="30" customHeight="1" x14ac:dyDescent="0.3">
      <c r="B233" s="373" t="s">
        <v>1130</v>
      </c>
      <c r="C233" s="391" t="s">
        <v>1131</v>
      </c>
      <c r="D233" s="375" t="s">
        <v>808</v>
      </c>
      <c r="E233" s="375" t="s">
        <v>808</v>
      </c>
      <c r="F233" s="377">
        <f>7+20.33953/60</f>
        <v>7.3389921666666664</v>
      </c>
      <c r="G233" s="377">
        <f>134+28.54431/60</f>
        <v>134.47573850000001</v>
      </c>
      <c r="H233" s="377">
        <f>7+20.36167/60</f>
        <v>7.3393611666666665</v>
      </c>
      <c r="I233" s="377">
        <f>134+28.45917/60</f>
        <v>134.47431950000001</v>
      </c>
      <c r="J233" s="375" t="s">
        <v>97</v>
      </c>
      <c r="K233" s="377" t="s">
        <v>421</v>
      </c>
      <c r="L233" s="375" t="s">
        <v>1107</v>
      </c>
      <c r="M233" s="385">
        <v>174</v>
      </c>
      <c r="N233" s="377">
        <v>6.1</v>
      </c>
      <c r="O233" s="377">
        <v>2</v>
      </c>
      <c r="P233" s="377" t="s">
        <v>83</v>
      </c>
      <c r="Q233" s="375" t="s">
        <v>275</v>
      </c>
      <c r="R233" s="375" t="s">
        <v>1129</v>
      </c>
      <c r="S233" s="380" t="s">
        <v>92</v>
      </c>
      <c r="T233" s="329">
        <v>5</v>
      </c>
      <c r="U233" s="329">
        <v>4</v>
      </c>
      <c r="V233" s="329">
        <v>3</v>
      </c>
      <c r="W233" s="329">
        <v>3</v>
      </c>
      <c r="X233" s="154" t="s">
        <v>311</v>
      </c>
      <c r="Y233" s="329">
        <v>4</v>
      </c>
      <c r="Z233" s="154">
        <f t="shared" si="85"/>
        <v>83</v>
      </c>
      <c r="AA233" s="405">
        <f t="shared" si="68"/>
        <v>87000</v>
      </c>
      <c r="AB233" s="405">
        <f t="shared" si="69"/>
        <v>52200</v>
      </c>
      <c r="AC233" s="407">
        <f t="shared" si="70"/>
        <v>800</v>
      </c>
      <c r="AD233" s="343"/>
      <c r="AE233" s="343"/>
      <c r="AF233" s="343"/>
      <c r="AG233" s="343"/>
      <c r="AH233" s="381"/>
      <c r="AI233" s="381"/>
      <c r="AJ233" s="381"/>
      <c r="AK233" s="381"/>
      <c r="AW233" s="217">
        <f t="shared" si="71"/>
        <v>5</v>
      </c>
      <c r="AX233" s="217">
        <f t="shared" si="72"/>
        <v>4</v>
      </c>
      <c r="AY233" s="217">
        <f t="shared" si="73"/>
        <v>3</v>
      </c>
      <c r="AZ233" s="217">
        <f t="shared" si="74"/>
        <v>3</v>
      </c>
      <c r="BA233" s="217">
        <f t="shared" si="75"/>
        <v>0</v>
      </c>
      <c r="BB233" s="217">
        <f t="shared" si="76"/>
        <v>4</v>
      </c>
      <c r="BC233" s="217">
        <f t="shared" si="77"/>
        <v>58</v>
      </c>
      <c r="BD233" s="217"/>
      <c r="BE233" s="217">
        <f t="shared" si="78"/>
        <v>5</v>
      </c>
      <c r="BF233" s="217">
        <f t="shared" si="79"/>
        <v>5</v>
      </c>
      <c r="BG233" s="217">
        <f t="shared" si="80"/>
        <v>5</v>
      </c>
      <c r="BH233" s="217">
        <f t="shared" si="81"/>
        <v>5</v>
      </c>
      <c r="BI233" s="217">
        <f t="shared" si="82"/>
        <v>0</v>
      </c>
      <c r="BJ233" s="217">
        <f t="shared" si="83"/>
        <v>5</v>
      </c>
      <c r="BK233" s="217">
        <f t="shared" si="84"/>
        <v>70</v>
      </c>
    </row>
    <row r="234" spans="2:63" ht="30" customHeight="1" x14ac:dyDescent="0.3">
      <c r="B234" s="373" t="s">
        <v>1132</v>
      </c>
      <c r="C234" s="374" t="s">
        <v>1133</v>
      </c>
      <c r="D234" s="375" t="s">
        <v>808</v>
      </c>
      <c r="E234" s="375" t="s">
        <v>808</v>
      </c>
      <c r="F234" s="383">
        <f>7+20/60+13/3600</f>
        <v>7.3369444444444438</v>
      </c>
      <c r="G234" s="383">
        <f>134+28/60+27/3600</f>
        <v>134.47416666666666</v>
      </c>
      <c r="H234" s="383">
        <f>7+20/60+17/3600</f>
        <v>7.3380555555555551</v>
      </c>
      <c r="I234" s="383">
        <f>134+28/60+28/3600</f>
        <v>134.47444444444446</v>
      </c>
      <c r="J234" s="375" t="s">
        <v>97</v>
      </c>
      <c r="K234" s="375" t="s">
        <v>545</v>
      </c>
      <c r="L234" s="375" t="s">
        <v>1107</v>
      </c>
      <c r="M234" s="378">
        <v>147</v>
      </c>
      <c r="N234" s="375">
        <v>4.9000000000000004</v>
      </c>
      <c r="O234" s="375">
        <v>2</v>
      </c>
      <c r="P234" s="375" t="s">
        <v>83</v>
      </c>
      <c r="Q234" s="375" t="s">
        <v>275</v>
      </c>
      <c r="R234" s="375" t="s">
        <v>1129</v>
      </c>
      <c r="S234" s="380" t="s">
        <v>92</v>
      </c>
      <c r="T234" s="154">
        <v>3</v>
      </c>
      <c r="U234" s="154">
        <v>2</v>
      </c>
      <c r="V234" s="154">
        <v>2</v>
      </c>
      <c r="W234" s="154">
        <v>3</v>
      </c>
      <c r="X234" s="154" t="s">
        <v>311</v>
      </c>
      <c r="Y234" s="154">
        <v>4</v>
      </c>
      <c r="Z234" s="154">
        <f t="shared" si="85"/>
        <v>59</v>
      </c>
      <c r="AA234" s="405">
        <f t="shared" si="68"/>
        <v>73500</v>
      </c>
      <c r="AB234" s="405">
        <f t="shared" si="69"/>
        <v>44100</v>
      </c>
      <c r="AC234" s="407">
        <f t="shared" si="70"/>
        <v>700</v>
      </c>
      <c r="AD234" s="343"/>
      <c r="AE234" s="343"/>
      <c r="AF234" s="343"/>
      <c r="AG234" s="343"/>
      <c r="AH234" s="381"/>
      <c r="AI234" s="381">
        <f t="shared" si="86"/>
        <v>44100</v>
      </c>
      <c r="AJ234" s="381">
        <f t="shared" si="87"/>
        <v>14700</v>
      </c>
      <c r="AK234" s="381"/>
      <c r="AW234" s="217">
        <f t="shared" si="71"/>
        <v>3</v>
      </c>
      <c r="AX234" s="217">
        <f t="shared" si="72"/>
        <v>2</v>
      </c>
      <c r="AY234" s="217">
        <f t="shared" si="73"/>
        <v>2</v>
      </c>
      <c r="AZ234" s="217">
        <f t="shared" si="74"/>
        <v>3</v>
      </c>
      <c r="BA234" s="217">
        <f t="shared" si="75"/>
        <v>0</v>
      </c>
      <c r="BB234" s="217">
        <f t="shared" si="76"/>
        <v>4</v>
      </c>
      <c r="BC234" s="217">
        <f t="shared" si="77"/>
        <v>41</v>
      </c>
      <c r="BD234" s="217"/>
      <c r="BE234" s="217">
        <f t="shared" si="78"/>
        <v>5</v>
      </c>
      <c r="BF234" s="217">
        <f t="shared" si="79"/>
        <v>5</v>
      </c>
      <c r="BG234" s="217">
        <f t="shared" si="80"/>
        <v>5</v>
      </c>
      <c r="BH234" s="217">
        <f t="shared" si="81"/>
        <v>5</v>
      </c>
      <c r="BI234" s="217">
        <f t="shared" si="82"/>
        <v>0</v>
      </c>
      <c r="BJ234" s="217">
        <f t="shared" si="83"/>
        <v>5</v>
      </c>
      <c r="BK234" s="217">
        <f t="shared" si="84"/>
        <v>70</v>
      </c>
    </row>
    <row r="235" spans="2:63" ht="30" customHeight="1" x14ac:dyDescent="0.3">
      <c r="B235" s="373" t="s">
        <v>1135</v>
      </c>
      <c r="C235" s="391" t="s">
        <v>1134</v>
      </c>
      <c r="D235" s="375" t="s">
        <v>808</v>
      </c>
      <c r="E235" s="375" t="s">
        <v>808</v>
      </c>
      <c r="F235" s="377">
        <f>7+20.35232/60</f>
        <v>7.3392053333333331</v>
      </c>
      <c r="G235" s="377">
        <f>134+28.42163/60</f>
        <v>134.47369383333333</v>
      </c>
      <c r="H235" s="377">
        <f>7+20.33114/60</f>
        <v>7.3388523333333335</v>
      </c>
      <c r="I235" s="377">
        <f>134+28.3374/60</f>
        <v>134.47228999999999</v>
      </c>
      <c r="J235" s="375" t="s">
        <v>97</v>
      </c>
      <c r="K235" s="377" t="s">
        <v>502</v>
      </c>
      <c r="L235" s="375">
        <v>2015</v>
      </c>
      <c r="M235" s="385">
        <v>209</v>
      </c>
      <c r="N235" s="375">
        <v>4.9000000000000004</v>
      </c>
      <c r="O235" s="377">
        <v>2</v>
      </c>
      <c r="P235" s="375" t="s">
        <v>83</v>
      </c>
      <c r="Q235" s="375" t="s">
        <v>275</v>
      </c>
      <c r="R235" s="375" t="s">
        <v>1129</v>
      </c>
      <c r="S235" s="380" t="s">
        <v>92</v>
      </c>
      <c r="T235" s="329">
        <v>5</v>
      </c>
      <c r="U235" s="329">
        <v>4</v>
      </c>
      <c r="V235" s="329">
        <v>3</v>
      </c>
      <c r="W235" s="329">
        <v>3</v>
      </c>
      <c r="X235" s="154" t="s">
        <v>311</v>
      </c>
      <c r="Y235" s="154">
        <v>5</v>
      </c>
      <c r="Z235" s="154">
        <f t="shared" si="85"/>
        <v>89</v>
      </c>
      <c r="AA235" s="405">
        <f t="shared" si="68"/>
        <v>104500</v>
      </c>
      <c r="AB235" s="405">
        <f t="shared" si="69"/>
        <v>62700</v>
      </c>
      <c r="AC235" s="407">
        <f t="shared" si="70"/>
        <v>900</v>
      </c>
      <c r="AD235" s="343"/>
      <c r="AE235" s="343"/>
      <c r="AF235" s="343"/>
      <c r="AG235" s="343"/>
      <c r="AH235" s="381"/>
      <c r="AI235" s="381"/>
      <c r="AJ235" s="381"/>
      <c r="AK235" s="381"/>
      <c r="AW235" s="217">
        <f t="shared" si="71"/>
        <v>5</v>
      </c>
      <c r="AX235" s="217">
        <f t="shared" si="72"/>
        <v>4</v>
      </c>
      <c r="AY235" s="217">
        <f t="shared" si="73"/>
        <v>3</v>
      </c>
      <c r="AZ235" s="217">
        <f t="shared" si="74"/>
        <v>3</v>
      </c>
      <c r="BA235" s="217">
        <f t="shared" si="75"/>
        <v>0</v>
      </c>
      <c r="BB235" s="217">
        <f t="shared" si="76"/>
        <v>5</v>
      </c>
      <c r="BC235" s="217">
        <f t="shared" si="77"/>
        <v>62</v>
      </c>
      <c r="BD235" s="217"/>
      <c r="BE235" s="217">
        <f t="shared" si="78"/>
        <v>5</v>
      </c>
      <c r="BF235" s="217">
        <f t="shared" si="79"/>
        <v>5</v>
      </c>
      <c r="BG235" s="217">
        <f t="shared" si="80"/>
        <v>5</v>
      </c>
      <c r="BH235" s="217">
        <f t="shared" si="81"/>
        <v>5</v>
      </c>
      <c r="BI235" s="217">
        <f t="shared" si="82"/>
        <v>0</v>
      </c>
      <c r="BJ235" s="217">
        <f t="shared" si="83"/>
        <v>5</v>
      </c>
      <c r="BK235" s="217">
        <f t="shared" si="84"/>
        <v>70</v>
      </c>
    </row>
    <row r="236" spans="2:63" ht="30" customHeight="1" x14ac:dyDescent="0.3">
      <c r="B236" s="373" t="s">
        <v>1136</v>
      </c>
      <c r="C236" s="391" t="s">
        <v>1137</v>
      </c>
      <c r="D236" s="375" t="s">
        <v>808</v>
      </c>
      <c r="E236" s="375" t="s">
        <v>808</v>
      </c>
      <c r="F236" s="377">
        <f>7+20.27158/60</f>
        <v>7.3378596666666667</v>
      </c>
      <c r="G236" s="377">
        <f>134+28.5672/60</f>
        <v>134.47612000000001</v>
      </c>
      <c r="H236" s="377">
        <f>7+20.1151/60</f>
        <v>7.3352516666666663</v>
      </c>
      <c r="I236" s="377">
        <f>134+28.3276/60</f>
        <v>134.47212666666667</v>
      </c>
      <c r="J236" s="375" t="s">
        <v>97</v>
      </c>
      <c r="K236" s="377" t="s">
        <v>502</v>
      </c>
      <c r="L236" s="375">
        <v>2015</v>
      </c>
      <c r="M236" s="385">
        <v>515</v>
      </c>
      <c r="N236" s="377">
        <v>5.5</v>
      </c>
      <c r="O236" s="377">
        <v>2</v>
      </c>
      <c r="P236" s="377" t="s">
        <v>83</v>
      </c>
      <c r="Q236" s="375" t="s">
        <v>275</v>
      </c>
      <c r="R236" s="375" t="s">
        <v>1120</v>
      </c>
      <c r="S236" s="380" t="s">
        <v>92</v>
      </c>
      <c r="T236" s="329">
        <v>5</v>
      </c>
      <c r="U236" s="329">
        <v>4</v>
      </c>
      <c r="V236" s="329">
        <v>4</v>
      </c>
      <c r="W236" s="329">
        <v>4</v>
      </c>
      <c r="X236" s="154" t="s">
        <v>311</v>
      </c>
      <c r="Y236" s="154">
        <v>5</v>
      </c>
      <c r="Z236" s="154">
        <f t="shared" si="85"/>
        <v>92</v>
      </c>
      <c r="AA236" s="405">
        <f t="shared" si="68"/>
        <v>257500</v>
      </c>
      <c r="AB236" s="405">
        <f t="shared" si="69"/>
        <v>154500</v>
      </c>
      <c r="AC236" s="407">
        <f t="shared" si="70"/>
        <v>2300</v>
      </c>
      <c r="AD236" s="343"/>
      <c r="AE236" s="343"/>
      <c r="AF236" s="343"/>
      <c r="AG236" s="343"/>
      <c r="AH236" s="381"/>
      <c r="AI236" s="381"/>
      <c r="AJ236" s="381"/>
      <c r="AK236" s="381"/>
      <c r="AW236" s="217">
        <f t="shared" si="71"/>
        <v>5</v>
      </c>
      <c r="AX236" s="217">
        <f t="shared" si="72"/>
        <v>4</v>
      </c>
      <c r="AY236" s="217">
        <f t="shared" si="73"/>
        <v>4</v>
      </c>
      <c r="AZ236" s="217">
        <f t="shared" si="74"/>
        <v>4</v>
      </c>
      <c r="BA236" s="217">
        <f t="shared" si="75"/>
        <v>0</v>
      </c>
      <c r="BB236" s="217">
        <f t="shared" si="76"/>
        <v>5</v>
      </c>
      <c r="BC236" s="217">
        <f t="shared" si="77"/>
        <v>64</v>
      </c>
      <c r="BD236" s="217"/>
      <c r="BE236" s="217">
        <f t="shared" si="78"/>
        <v>5</v>
      </c>
      <c r="BF236" s="217">
        <f t="shared" si="79"/>
        <v>5</v>
      </c>
      <c r="BG236" s="217">
        <f t="shared" si="80"/>
        <v>5</v>
      </c>
      <c r="BH236" s="217">
        <f t="shared" si="81"/>
        <v>5</v>
      </c>
      <c r="BI236" s="217">
        <f t="shared" si="82"/>
        <v>0</v>
      </c>
      <c r="BJ236" s="217">
        <f t="shared" si="83"/>
        <v>5</v>
      </c>
      <c r="BK236" s="217">
        <f t="shared" si="84"/>
        <v>70</v>
      </c>
    </row>
    <row r="237" spans="2:63" s="372" customFormat="1" ht="30" customHeight="1" x14ac:dyDescent="0.35">
      <c r="B237" s="373" t="s">
        <v>1138</v>
      </c>
      <c r="C237" s="374" t="s">
        <v>811</v>
      </c>
      <c r="D237" s="375" t="s">
        <v>808</v>
      </c>
      <c r="E237" s="375" t="s">
        <v>808</v>
      </c>
      <c r="F237" s="383">
        <f>7+20/60+29/3600</f>
        <v>7.341388888888889</v>
      </c>
      <c r="G237" s="383">
        <f>134+28/60+24/3600</f>
        <v>134.47333333333333</v>
      </c>
      <c r="H237" s="383">
        <f>7+20/60+19/3600</f>
        <v>7.3386111111111108</v>
      </c>
      <c r="I237" s="383">
        <f>134+28/60+27/3600</f>
        <v>134.47416666666666</v>
      </c>
      <c r="J237" s="375" t="s">
        <v>277</v>
      </c>
      <c r="K237" s="377" t="s">
        <v>421</v>
      </c>
      <c r="L237" s="375">
        <v>2012</v>
      </c>
      <c r="M237" s="378">
        <v>570</v>
      </c>
      <c r="N237" s="379">
        <v>7.2</v>
      </c>
      <c r="O237" s="375">
        <v>2</v>
      </c>
      <c r="P237" s="375" t="s">
        <v>83</v>
      </c>
      <c r="Q237" s="375" t="s">
        <v>275</v>
      </c>
      <c r="R237" s="375" t="s">
        <v>801</v>
      </c>
      <c r="S237" s="380" t="s">
        <v>732</v>
      </c>
      <c r="T237" s="154">
        <v>4</v>
      </c>
      <c r="U237" s="154">
        <v>4</v>
      </c>
      <c r="V237" s="154">
        <v>4</v>
      </c>
      <c r="W237" s="154">
        <v>3</v>
      </c>
      <c r="X237" s="154" t="s">
        <v>311</v>
      </c>
      <c r="Y237" s="154">
        <v>5</v>
      </c>
      <c r="Z237" s="154">
        <f t="shared" si="85"/>
        <v>85</v>
      </c>
      <c r="AA237" s="405">
        <f t="shared" si="68"/>
        <v>285000</v>
      </c>
      <c r="AB237" s="405">
        <f t="shared" si="69"/>
        <v>171000</v>
      </c>
      <c r="AC237" s="407">
        <f t="shared" si="70"/>
        <v>2600</v>
      </c>
      <c r="AD237" s="343"/>
      <c r="AE237" s="343"/>
      <c r="AF237" s="343"/>
      <c r="AG237" s="343"/>
      <c r="AH237" s="381"/>
      <c r="AI237" s="381"/>
      <c r="AJ237" s="381"/>
      <c r="AK237" s="381"/>
      <c r="AW237" s="217">
        <f t="shared" si="71"/>
        <v>4</v>
      </c>
      <c r="AX237" s="217">
        <f t="shared" si="72"/>
        <v>4</v>
      </c>
      <c r="AY237" s="217">
        <f t="shared" si="73"/>
        <v>4</v>
      </c>
      <c r="AZ237" s="217">
        <f t="shared" si="74"/>
        <v>3</v>
      </c>
      <c r="BA237" s="217">
        <f t="shared" si="75"/>
        <v>0</v>
      </c>
      <c r="BB237" s="217">
        <f t="shared" si="76"/>
        <v>5</v>
      </c>
      <c r="BC237" s="217">
        <f t="shared" si="77"/>
        <v>59</v>
      </c>
      <c r="BD237" s="217"/>
      <c r="BE237" s="217">
        <f t="shared" si="78"/>
        <v>5</v>
      </c>
      <c r="BF237" s="217">
        <f t="shared" si="79"/>
        <v>5</v>
      </c>
      <c r="BG237" s="217">
        <f t="shared" si="80"/>
        <v>5</v>
      </c>
      <c r="BH237" s="217">
        <f t="shared" si="81"/>
        <v>5</v>
      </c>
      <c r="BI237" s="217">
        <f t="shared" si="82"/>
        <v>0</v>
      </c>
      <c r="BJ237" s="217">
        <f t="shared" si="83"/>
        <v>5</v>
      </c>
      <c r="BK237" s="217">
        <f t="shared" si="84"/>
        <v>70</v>
      </c>
    </row>
    <row r="238" spans="2:63" s="372" customFormat="1" ht="30" customHeight="1" x14ac:dyDescent="0.35">
      <c r="B238" s="373" t="s">
        <v>1139</v>
      </c>
      <c r="C238" s="374" t="s">
        <v>812</v>
      </c>
      <c r="D238" s="375" t="s">
        <v>808</v>
      </c>
      <c r="E238" s="375" t="s">
        <v>808</v>
      </c>
      <c r="F238" s="383">
        <f>7+20/60+29/3600</f>
        <v>7.341388888888889</v>
      </c>
      <c r="G238" s="383">
        <f>134+28/60+19/3600</f>
        <v>134.47194444444446</v>
      </c>
      <c r="H238" s="383">
        <f>7+20/60+16/3600</f>
        <v>7.3377777777777773</v>
      </c>
      <c r="I238" s="383">
        <f>134+28/60+22/3600</f>
        <v>134.47277777777779</v>
      </c>
      <c r="J238" s="375" t="s">
        <v>277</v>
      </c>
      <c r="K238" s="377" t="s">
        <v>421</v>
      </c>
      <c r="L238" s="375">
        <v>2012</v>
      </c>
      <c r="M238" s="378">
        <v>490</v>
      </c>
      <c r="N238" s="379">
        <v>5.5</v>
      </c>
      <c r="O238" s="375">
        <v>2</v>
      </c>
      <c r="P238" s="375" t="s">
        <v>83</v>
      </c>
      <c r="Q238" s="375" t="s">
        <v>275</v>
      </c>
      <c r="R238" s="375" t="s">
        <v>801</v>
      </c>
      <c r="S238" s="380" t="s">
        <v>92</v>
      </c>
      <c r="T238" s="154">
        <v>5</v>
      </c>
      <c r="U238" s="154">
        <v>4</v>
      </c>
      <c r="V238" s="154">
        <v>4</v>
      </c>
      <c r="W238" s="154">
        <v>4</v>
      </c>
      <c r="X238" s="154" t="s">
        <v>311</v>
      </c>
      <c r="Y238" s="154">
        <v>5</v>
      </c>
      <c r="Z238" s="154">
        <f t="shared" si="85"/>
        <v>92</v>
      </c>
      <c r="AA238" s="405">
        <f t="shared" si="68"/>
        <v>245000</v>
      </c>
      <c r="AB238" s="405">
        <f t="shared" si="69"/>
        <v>147000</v>
      </c>
      <c r="AC238" s="407">
        <f t="shared" si="70"/>
        <v>2200</v>
      </c>
      <c r="AD238" s="343"/>
      <c r="AE238" s="343"/>
      <c r="AF238" s="343"/>
      <c r="AG238" s="343"/>
      <c r="AH238" s="381"/>
      <c r="AI238" s="381"/>
      <c r="AJ238" s="381"/>
      <c r="AK238" s="381"/>
      <c r="AW238" s="217">
        <f t="shared" si="71"/>
        <v>5</v>
      </c>
      <c r="AX238" s="217">
        <f t="shared" si="72"/>
        <v>4</v>
      </c>
      <c r="AY238" s="217">
        <f t="shared" si="73"/>
        <v>4</v>
      </c>
      <c r="AZ238" s="217">
        <f t="shared" si="74"/>
        <v>4</v>
      </c>
      <c r="BA238" s="217">
        <f t="shared" si="75"/>
        <v>0</v>
      </c>
      <c r="BB238" s="217">
        <f t="shared" si="76"/>
        <v>5</v>
      </c>
      <c r="BC238" s="217">
        <f t="shared" si="77"/>
        <v>64</v>
      </c>
      <c r="BD238" s="217"/>
      <c r="BE238" s="217">
        <f t="shared" si="78"/>
        <v>5</v>
      </c>
      <c r="BF238" s="217">
        <f t="shared" si="79"/>
        <v>5</v>
      </c>
      <c r="BG238" s="217">
        <f t="shared" si="80"/>
        <v>5</v>
      </c>
      <c r="BH238" s="217">
        <f t="shared" si="81"/>
        <v>5</v>
      </c>
      <c r="BI238" s="217">
        <f t="shared" si="82"/>
        <v>0</v>
      </c>
      <c r="BJ238" s="217">
        <f t="shared" si="83"/>
        <v>5</v>
      </c>
      <c r="BK238" s="217">
        <f t="shared" si="84"/>
        <v>70</v>
      </c>
    </row>
    <row r="239" spans="2:63" s="372" customFormat="1" ht="30" customHeight="1" x14ac:dyDescent="0.35">
      <c r="B239" s="373" t="s">
        <v>1140</v>
      </c>
      <c r="C239" s="374" t="s">
        <v>813</v>
      </c>
      <c r="D239" s="375" t="s">
        <v>808</v>
      </c>
      <c r="E239" s="375" t="s">
        <v>808</v>
      </c>
      <c r="F239" s="383">
        <f>7+20/60+16/3600</f>
        <v>7.3377777777777773</v>
      </c>
      <c r="G239" s="383">
        <f>134+28/60+22/3600</f>
        <v>134.47277777777779</v>
      </c>
      <c r="H239" s="383">
        <f>7+20/60+2/3600</f>
        <v>7.3338888888888887</v>
      </c>
      <c r="I239" s="383">
        <f>134+28/60+32/3600</f>
        <v>134.47555555555556</v>
      </c>
      <c r="J239" s="375" t="s">
        <v>277</v>
      </c>
      <c r="K239" s="377" t="s">
        <v>421</v>
      </c>
      <c r="L239" s="375">
        <v>2014</v>
      </c>
      <c r="M239" s="378">
        <v>675</v>
      </c>
      <c r="N239" s="379">
        <v>5.5</v>
      </c>
      <c r="O239" s="375">
        <v>2</v>
      </c>
      <c r="P239" s="375" t="s">
        <v>83</v>
      </c>
      <c r="Q239" s="375" t="s">
        <v>275</v>
      </c>
      <c r="R239" s="375" t="s">
        <v>801</v>
      </c>
      <c r="S239" s="380" t="s">
        <v>92</v>
      </c>
      <c r="T239" s="154">
        <v>5</v>
      </c>
      <c r="U239" s="154">
        <v>4</v>
      </c>
      <c r="V239" s="154">
        <v>4</v>
      </c>
      <c r="W239" s="154">
        <v>5</v>
      </c>
      <c r="X239" s="154" t="s">
        <v>311</v>
      </c>
      <c r="Y239" s="154">
        <v>5</v>
      </c>
      <c r="Z239" s="154">
        <f t="shared" si="85"/>
        <v>93</v>
      </c>
      <c r="AA239" s="405">
        <f t="shared" si="68"/>
        <v>337500</v>
      </c>
      <c r="AB239" s="405">
        <f t="shared" si="69"/>
        <v>202500</v>
      </c>
      <c r="AC239" s="407">
        <f t="shared" si="70"/>
        <v>3000</v>
      </c>
      <c r="AD239" s="343"/>
      <c r="AE239" s="343"/>
      <c r="AF239" s="343"/>
      <c r="AG239" s="343"/>
      <c r="AH239" s="381"/>
      <c r="AI239" s="381"/>
      <c r="AJ239" s="381"/>
      <c r="AK239" s="381"/>
      <c r="AW239" s="217">
        <f t="shared" si="71"/>
        <v>5</v>
      </c>
      <c r="AX239" s="217">
        <f t="shared" si="72"/>
        <v>4</v>
      </c>
      <c r="AY239" s="217">
        <f t="shared" si="73"/>
        <v>4</v>
      </c>
      <c r="AZ239" s="217">
        <f t="shared" si="74"/>
        <v>5</v>
      </c>
      <c r="BA239" s="217">
        <f t="shared" si="75"/>
        <v>0</v>
      </c>
      <c r="BB239" s="217">
        <f t="shared" si="76"/>
        <v>5</v>
      </c>
      <c r="BC239" s="217">
        <f t="shared" si="77"/>
        <v>65</v>
      </c>
      <c r="BD239" s="217"/>
      <c r="BE239" s="217">
        <f t="shared" si="78"/>
        <v>5</v>
      </c>
      <c r="BF239" s="217">
        <f t="shared" si="79"/>
        <v>5</v>
      </c>
      <c r="BG239" s="217">
        <f t="shared" si="80"/>
        <v>5</v>
      </c>
      <c r="BH239" s="217">
        <f t="shared" si="81"/>
        <v>5</v>
      </c>
      <c r="BI239" s="217">
        <f t="shared" si="82"/>
        <v>0</v>
      </c>
      <c r="BJ239" s="217">
        <f t="shared" si="83"/>
        <v>5</v>
      </c>
      <c r="BK239" s="217">
        <f t="shared" si="84"/>
        <v>70</v>
      </c>
    </row>
    <row r="240" spans="2:63" s="372" customFormat="1" ht="30" customHeight="1" x14ac:dyDescent="0.35">
      <c r="B240" s="373" t="s">
        <v>1141</v>
      </c>
      <c r="C240" s="374" t="s">
        <v>814</v>
      </c>
      <c r="D240" s="375" t="s">
        <v>808</v>
      </c>
      <c r="E240" s="375" t="s">
        <v>808</v>
      </c>
      <c r="F240" s="383">
        <f>7+20/60+2/3600</f>
        <v>7.3338888888888887</v>
      </c>
      <c r="G240" s="383">
        <f>134+28/60+32/3600</f>
        <v>134.47555555555556</v>
      </c>
      <c r="H240" s="383">
        <f>7+19/60+48/3600</f>
        <v>7.33</v>
      </c>
      <c r="I240" s="383">
        <f>134+28/60+40/3600</f>
        <v>134.47777777777779</v>
      </c>
      <c r="J240" s="375" t="s">
        <v>277</v>
      </c>
      <c r="K240" s="377" t="s">
        <v>421</v>
      </c>
      <c r="L240" s="375">
        <v>2016</v>
      </c>
      <c r="M240" s="378">
        <v>500</v>
      </c>
      <c r="N240" s="379">
        <v>5.5</v>
      </c>
      <c r="O240" s="375">
        <v>2</v>
      </c>
      <c r="P240" s="375" t="s">
        <v>83</v>
      </c>
      <c r="Q240" s="375" t="s">
        <v>275</v>
      </c>
      <c r="R240" s="375" t="s">
        <v>801</v>
      </c>
      <c r="S240" s="380" t="s">
        <v>92</v>
      </c>
      <c r="T240" s="154">
        <v>5</v>
      </c>
      <c r="U240" s="154">
        <v>4</v>
      </c>
      <c r="V240" s="154">
        <v>4</v>
      </c>
      <c r="W240" s="154">
        <v>4</v>
      </c>
      <c r="X240" s="154" t="s">
        <v>311</v>
      </c>
      <c r="Y240" s="154">
        <v>5</v>
      </c>
      <c r="Z240" s="154">
        <f t="shared" si="85"/>
        <v>92</v>
      </c>
      <c r="AA240" s="405">
        <f t="shared" si="68"/>
        <v>250000</v>
      </c>
      <c r="AB240" s="405">
        <f t="shared" si="69"/>
        <v>150000</v>
      </c>
      <c r="AC240" s="407">
        <f t="shared" si="70"/>
        <v>2300</v>
      </c>
      <c r="AD240" s="343"/>
      <c r="AE240" s="343"/>
      <c r="AF240" s="343"/>
      <c r="AG240" s="343"/>
      <c r="AH240" s="381"/>
      <c r="AI240" s="381"/>
      <c r="AJ240" s="381"/>
      <c r="AK240" s="381"/>
      <c r="AW240" s="217">
        <f t="shared" si="71"/>
        <v>5</v>
      </c>
      <c r="AX240" s="217">
        <f t="shared" si="72"/>
        <v>4</v>
      </c>
      <c r="AY240" s="217">
        <f t="shared" si="73"/>
        <v>4</v>
      </c>
      <c r="AZ240" s="217">
        <f t="shared" si="74"/>
        <v>4</v>
      </c>
      <c r="BA240" s="217">
        <f t="shared" si="75"/>
        <v>0</v>
      </c>
      <c r="BB240" s="217">
        <f t="shared" si="76"/>
        <v>5</v>
      </c>
      <c r="BC240" s="217">
        <f t="shared" si="77"/>
        <v>64</v>
      </c>
      <c r="BD240" s="217"/>
      <c r="BE240" s="217">
        <f t="shared" si="78"/>
        <v>5</v>
      </c>
      <c r="BF240" s="217">
        <f t="shared" si="79"/>
        <v>5</v>
      </c>
      <c r="BG240" s="217">
        <f t="shared" si="80"/>
        <v>5</v>
      </c>
      <c r="BH240" s="217">
        <f t="shared" si="81"/>
        <v>5</v>
      </c>
      <c r="BI240" s="217">
        <f t="shared" si="82"/>
        <v>0</v>
      </c>
      <c r="BJ240" s="217">
        <f t="shared" si="83"/>
        <v>5</v>
      </c>
      <c r="BK240" s="217">
        <f t="shared" si="84"/>
        <v>70</v>
      </c>
    </row>
    <row r="241" spans="2:131" s="393" customFormat="1" ht="30" customHeight="1" x14ac:dyDescent="0.35">
      <c r="B241" s="373" t="s">
        <v>1142</v>
      </c>
      <c r="C241" s="374" t="s">
        <v>948</v>
      </c>
      <c r="D241" s="375" t="s">
        <v>949</v>
      </c>
      <c r="E241" s="375" t="s">
        <v>759</v>
      </c>
      <c r="F241" s="375">
        <f>7+20.59788/60</f>
        <v>7.3432979999999999</v>
      </c>
      <c r="G241" s="375">
        <f>134+28.75305/60</f>
        <v>134.4792175</v>
      </c>
      <c r="H241" s="375">
        <f>7+20.7338/60</f>
        <v>7.3455633333333337</v>
      </c>
      <c r="I241" s="375">
        <f>134+28.87756/60</f>
        <v>134.48129266666666</v>
      </c>
      <c r="J241" s="375" t="s">
        <v>97</v>
      </c>
      <c r="K241" s="377" t="s">
        <v>421</v>
      </c>
      <c r="L241" s="375" t="s">
        <v>950</v>
      </c>
      <c r="M241" s="378">
        <v>452</v>
      </c>
      <c r="N241" s="375">
        <v>3.7</v>
      </c>
      <c r="O241" s="375">
        <v>2</v>
      </c>
      <c r="P241" s="375" t="s">
        <v>272</v>
      </c>
      <c r="Q241" s="375" t="s">
        <v>275</v>
      </c>
      <c r="R241" s="375" t="s">
        <v>291</v>
      </c>
      <c r="S241" s="380" t="s">
        <v>92</v>
      </c>
      <c r="T241" s="154">
        <v>3</v>
      </c>
      <c r="U241" s="154">
        <v>2</v>
      </c>
      <c r="V241" s="154">
        <v>2</v>
      </c>
      <c r="W241" s="154">
        <v>2</v>
      </c>
      <c r="X241" s="154" t="s">
        <v>311</v>
      </c>
      <c r="Y241" s="154">
        <v>3</v>
      </c>
      <c r="Z241" s="154">
        <f t="shared" si="85"/>
        <v>52</v>
      </c>
      <c r="AA241" s="405">
        <f t="shared" si="68"/>
        <v>226000</v>
      </c>
      <c r="AB241" s="405">
        <f t="shared" si="69"/>
        <v>135600</v>
      </c>
      <c r="AC241" s="407">
        <f t="shared" si="70"/>
        <v>2000</v>
      </c>
      <c r="AD241" s="343"/>
      <c r="AE241" s="343"/>
      <c r="AF241" s="343"/>
      <c r="AG241" s="343"/>
      <c r="AH241" s="381"/>
      <c r="AI241" s="381">
        <f t="shared" si="86"/>
        <v>135600</v>
      </c>
      <c r="AJ241" s="381">
        <f t="shared" si="87"/>
        <v>45200</v>
      </c>
      <c r="AK241" s="381"/>
      <c r="AL241" s="392"/>
      <c r="AM241" s="392"/>
      <c r="AN241" s="392"/>
      <c r="AO241" s="392"/>
      <c r="AP241" s="392"/>
      <c r="AQ241" s="392"/>
      <c r="AR241" s="392"/>
      <c r="AS241" s="392"/>
      <c r="AT241" s="392"/>
      <c r="AU241" s="392"/>
      <c r="AV241" s="392"/>
      <c r="AW241" s="217">
        <f t="shared" si="71"/>
        <v>3</v>
      </c>
      <c r="AX241" s="217">
        <f t="shared" si="72"/>
        <v>2</v>
      </c>
      <c r="AY241" s="217">
        <f t="shared" si="73"/>
        <v>2</v>
      </c>
      <c r="AZ241" s="217">
        <f t="shared" si="74"/>
        <v>2</v>
      </c>
      <c r="BA241" s="217">
        <f t="shared" si="75"/>
        <v>0</v>
      </c>
      <c r="BB241" s="217">
        <f t="shared" si="76"/>
        <v>3</v>
      </c>
      <c r="BC241" s="217">
        <f t="shared" si="77"/>
        <v>36</v>
      </c>
      <c r="BD241" s="217"/>
      <c r="BE241" s="217">
        <f t="shared" si="78"/>
        <v>5</v>
      </c>
      <c r="BF241" s="217">
        <f t="shared" si="79"/>
        <v>5</v>
      </c>
      <c r="BG241" s="217">
        <f t="shared" si="80"/>
        <v>5</v>
      </c>
      <c r="BH241" s="217">
        <f t="shared" si="81"/>
        <v>5</v>
      </c>
      <c r="BI241" s="217">
        <f t="shared" si="82"/>
        <v>0</v>
      </c>
      <c r="BJ241" s="217">
        <f t="shared" si="83"/>
        <v>5</v>
      </c>
      <c r="BK241" s="217">
        <f t="shared" si="84"/>
        <v>70</v>
      </c>
      <c r="BL241" s="392"/>
      <c r="BM241" s="392"/>
      <c r="BN241" s="392"/>
      <c r="BO241" s="392"/>
      <c r="BP241" s="392"/>
      <c r="BQ241" s="392"/>
      <c r="BR241" s="392"/>
      <c r="BS241" s="392"/>
      <c r="BT241" s="392"/>
      <c r="BU241" s="392"/>
      <c r="BV241" s="392"/>
      <c r="BW241" s="392"/>
      <c r="BX241" s="392"/>
      <c r="BY241" s="392"/>
      <c r="BZ241" s="392"/>
      <c r="CA241" s="392"/>
      <c r="CB241" s="392"/>
      <c r="CC241" s="392"/>
      <c r="CD241" s="392"/>
      <c r="CE241" s="392"/>
      <c r="CF241" s="392"/>
      <c r="CG241" s="392"/>
      <c r="CH241" s="392"/>
      <c r="CI241" s="392"/>
      <c r="CJ241" s="392"/>
      <c r="CK241" s="392"/>
      <c r="CL241" s="392"/>
      <c r="CM241" s="392"/>
      <c r="CN241" s="392"/>
      <c r="CO241" s="392"/>
      <c r="CP241" s="392"/>
      <c r="CQ241" s="392"/>
      <c r="CR241" s="392"/>
      <c r="CS241" s="392"/>
      <c r="CT241" s="392"/>
      <c r="CU241" s="392"/>
      <c r="CV241" s="392"/>
      <c r="CW241" s="392"/>
      <c r="CX241" s="392"/>
      <c r="CY241" s="392"/>
      <c r="CZ241" s="392"/>
      <c r="DA241" s="392"/>
      <c r="DB241" s="392"/>
      <c r="DC241" s="392"/>
      <c r="DD241" s="392"/>
      <c r="DE241" s="392"/>
      <c r="DF241" s="392"/>
      <c r="DG241" s="392"/>
      <c r="DH241" s="392"/>
      <c r="DI241" s="392"/>
      <c r="DJ241" s="392"/>
      <c r="DK241" s="392"/>
      <c r="DL241" s="392"/>
      <c r="DM241" s="392"/>
      <c r="DN241" s="392"/>
      <c r="DO241" s="392"/>
      <c r="DP241" s="392"/>
      <c r="DQ241" s="392"/>
      <c r="DR241" s="392"/>
      <c r="DS241" s="392"/>
      <c r="DT241" s="392"/>
      <c r="DU241" s="392"/>
      <c r="DV241" s="392"/>
      <c r="DW241" s="392"/>
      <c r="DX241" s="392"/>
      <c r="DY241" s="392"/>
      <c r="DZ241" s="392"/>
      <c r="EA241" s="392"/>
    </row>
    <row r="242" spans="2:131" s="390" customFormat="1" ht="30" customHeight="1" x14ac:dyDescent="0.35">
      <c r="B242" s="373" t="s">
        <v>1143</v>
      </c>
      <c r="C242" s="374" t="s">
        <v>951</v>
      </c>
      <c r="D242" s="375" t="s">
        <v>949</v>
      </c>
      <c r="E242" s="375" t="s">
        <v>949</v>
      </c>
      <c r="F242" s="375">
        <f>7+20.70808/60</f>
        <v>7.3451346666666666</v>
      </c>
      <c r="G242" s="375">
        <f>134+28.89038/60</f>
        <v>134.48150633333333</v>
      </c>
      <c r="H242" s="375">
        <f>7+20.53556/60</f>
        <v>7.3422593333333337</v>
      </c>
      <c r="I242" s="375">
        <f>134+28.63129/60</f>
        <v>134.47718816666668</v>
      </c>
      <c r="J242" s="375" t="s">
        <v>277</v>
      </c>
      <c r="K242" s="375">
        <v>2015</v>
      </c>
      <c r="L242" s="375" t="s">
        <v>950</v>
      </c>
      <c r="M242" s="378">
        <v>623</v>
      </c>
      <c r="N242" s="375">
        <v>6.1</v>
      </c>
      <c r="O242" s="375">
        <v>2</v>
      </c>
      <c r="P242" s="375" t="s">
        <v>83</v>
      </c>
      <c r="Q242" s="375" t="s">
        <v>275</v>
      </c>
      <c r="R242" s="375" t="s">
        <v>801</v>
      </c>
      <c r="S242" s="380" t="s">
        <v>92</v>
      </c>
      <c r="T242" s="154">
        <v>5</v>
      </c>
      <c r="U242" s="154">
        <v>4</v>
      </c>
      <c r="V242" s="154">
        <v>3</v>
      </c>
      <c r="W242" s="154">
        <v>4</v>
      </c>
      <c r="X242" s="154" t="s">
        <v>311</v>
      </c>
      <c r="Y242" s="154">
        <v>5</v>
      </c>
      <c r="Z242" s="154">
        <f t="shared" si="85"/>
        <v>90</v>
      </c>
      <c r="AA242" s="405">
        <f t="shared" si="68"/>
        <v>311500</v>
      </c>
      <c r="AB242" s="405">
        <f t="shared" si="69"/>
        <v>186900</v>
      </c>
      <c r="AC242" s="407">
        <f t="shared" si="70"/>
        <v>2800</v>
      </c>
      <c r="AD242" s="343"/>
      <c r="AE242" s="343"/>
      <c r="AF242" s="343"/>
      <c r="AG242" s="343"/>
      <c r="AH242" s="381"/>
      <c r="AI242" s="381"/>
      <c r="AJ242" s="381"/>
      <c r="AK242" s="381"/>
      <c r="AL242" s="389"/>
      <c r="AM242" s="389"/>
      <c r="AN242" s="389"/>
      <c r="AO242" s="389"/>
      <c r="AP242" s="389"/>
      <c r="AQ242" s="389"/>
      <c r="AR242" s="389"/>
      <c r="AS242" s="389"/>
      <c r="AT242" s="389"/>
      <c r="AU242" s="389"/>
      <c r="AV242" s="389"/>
      <c r="AW242" s="217">
        <f t="shared" si="71"/>
        <v>5</v>
      </c>
      <c r="AX242" s="217">
        <f t="shared" si="72"/>
        <v>4</v>
      </c>
      <c r="AY242" s="217">
        <f t="shared" si="73"/>
        <v>3</v>
      </c>
      <c r="AZ242" s="217">
        <f t="shared" si="74"/>
        <v>4</v>
      </c>
      <c r="BA242" s="217">
        <f t="shared" si="75"/>
        <v>0</v>
      </c>
      <c r="BB242" s="217">
        <f t="shared" si="76"/>
        <v>5</v>
      </c>
      <c r="BC242" s="217">
        <f t="shared" si="77"/>
        <v>63</v>
      </c>
      <c r="BD242" s="217"/>
      <c r="BE242" s="217">
        <f t="shared" si="78"/>
        <v>5</v>
      </c>
      <c r="BF242" s="217">
        <f t="shared" si="79"/>
        <v>5</v>
      </c>
      <c r="BG242" s="217">
        <f t="shared" si="80"/>
        <v>5</v>
      </c>
      <c r="BH242" s="217">
        <f t="shared" si="81"/>
        <v>5</v>
      </c>
      <c r="BI242" s="217">
        <f t="shared" si="82"/>
        <v>0</v>
      </c>
      <c r="BJ242" s="217">
        <f t="shared" si="83"/>
        <v>5</v>
      </c>
      <c r="BK242" s="217">
        <f t="shared" si="84"/>
        <v>70</v>
      </c>
      <c r="BL242" s="389"/>
      <c r="BM242" s="389"/>
      <c r="BN242" s="389"/>
      <c r="BO242" s="389"/>
      <c r="BP242" s="389"/>
      <c r="BQ242" s="389"/>
      <c r="BR242" s="389"/>
      <c r="BS242" s="389"/>
      <c r="BT242" s="389"/>
      <c r="BU242" s="389"/>
      <c r="BV242" s="389"/>
      <c r="BW242" s="389"/>
      <c r="BX242" s="389"/>
      <c r="BY242" s="389"/>
      <c r="BZ242" s="389"/>
      <c r="CA242" s="389"/>
      <c r="CB242" s="389"/>
      <c r="CC242" s="389"/>
      <c r="CD242" s="389"/>
      <c r="CE242" s="389"/>
      <c r="CF242" s="389"/>
      <c r="CG242" s="389"/>
      <c r="CH242" s="389"/>
      <c r="CI242" s="389"/>
      <c r="CJ242" s="389"/>
      <c r="CK242" s="389"/>
      <c r="CL242" s="389"/>
      <c r="CM242" s="389"/>
      <c r="CN242" s="389"/>
      <c r="CO242" s="389"/>
      <c r="CP242" s="389"/>
      <c r="CQ242" s="389"/>
      <c r="CR242" s="389"/>
      <c r="CS242" s="389"/>
      <c r="CT242" s="389"/>
      <c r="CU242" s="389"/>
      <c r="CV242" s="389"/>
      <c r="CW242" s="389"/>
      <c r="CX242" s="389"/>
      <c r="CY242" s="389"/>
      <c r="CZ242" s="389"/>
      <c r="DA242" s="389"/>
      <c r="DB242" s="389"/>
      <c r="DC242" s="389"/>
      <c r="DD242" s="389"/>
      <c r="DE242" s="389"/>
      <c r="DF242" s="389"/>
      <c r="DG242" s="389"/>
      <c r="DH242" s="389"/>
      <c r="DI242" s="389"/>
      <c r="DJ242" s="389"/>
      <c r="DK242" s="389"/>
      <c r="DL242" s="389"/>
      <c r="DM242" s="389"/>
      <c r="DN242" s="389"/>
      <c r="DO242" s="389"/>
      <c r="DP242" s="389"/>
      <c r="DQ242" s="389"/>
      <c r="DR242" s="389"/>
      <c r="DS242" s="389"/>
      <c r="DT242" s="389"/>
      <c r="DU242" s="389"/>
      <c r="DV242" s="389"/>
      <c r="DW242" s="389"/>
      <c r="DX242" s="389"/>
      <c r="DY242" s="389"/>
      <c r="DZ242" s="389"/>
      <c r="EA242" s="389"/>
    </row>
    <row r="243" spans="2:131" s="390" customFormat="1" ht="30" customHeight="1" x14ac:dyDescent="0.35">
      <c r="B243" s="373" t="s">
        <v>1146</v>
      </c>
      <c r="C243" s="374" t="s">
        <v>1144</v>
      </c>
      <c r="D243" s="375" t="s">
        <v>788</v>
      </c>
      <c r="E243" s="375" t="s">
        <v>788</v>
      </c>
      <c r="F243" s="375">
        <f>7+20.56386/60</f>
        <v>7.3427309999999997</v>
      </c>
      <c r="G243" s="375">
        <f>134+28.63312/60</f>
        <v>134.47721866666666</v>
      </c>
      <c r="H243" s="375">
        <f>7+20.55562/60</f>
        <v>7.3425936666666667</v>
      </c>
      <c r="I243" s="375">
        <f>134+28.55713/60</f>
        <v>134.47595216666667</v>
      </c>
      <c r="J243" s="375" t="s">
        <v>97</v>
      </c>
      <c r="K243" s="377" t="s">
        <v>421</v>
      </c>
      <c r="L243" s="375" t="s">
        <v>950</v>
      </c>
      <c r="M243" s="378">
        <v>189</v>
      </c>
      <c r="N243" s="375">
        <v>4.9000000000000004</v>
      </c>
      <c r="O243" s="375">
        <v>2</v>
      </c>
      <c r="P243" s="375" t="s">
        <v>83</v>
      </c>
      <c r="Q243" s="375" t="s">
        <v>275</v>
      </c>
      <c r="R243" s="375" t="s">
        <v>1129</v>
      </c>
      <c r="S243" s="380" t="s">
        <v>92</v>
      </c>
      <c r="T243" s="154">
        <v>3</v>
      </c>
      <c r="U243" s="154">
        <v>3</v>
      </c>
      <c r="V243" s="154">
        <v>3</v>
      </c>
      <c r="W243" s="154">
        <v>3</v>
      </c>
      <c r="X243" s="154" t="s">
        <v>311</v>
      </c>
      <c r="Y243" s="154">
        <v>3</v>
      </c>
      <c r="Z243" s="154">
        <f t="shared" si="85"/>
        <v>60</v>
      </c>
      <c r="AA243" s="405">
        <f t="shared" si="68"/>
        <v>94500</v>
      </c>
      <c r="AB243" s="405">
        <f t="shared" si="69"/>
        <v>56700</v>
      </c>
      <c r="AC243" s="407">
        <f t="shared" si="70"/>
        <v>900</v>
      </c>
      <c r="AD243" s="343"/>
      <c r="AE243" s="343"/>
      <c r="AF243" s="343"/>
      <c r="AG243" s="343"/>
      <c r="AH243" s="381"/>
      <c r="AI243" s="381"/>
      <c r="AJ243" s="381"/>
      <c r="AK243" s="381"/>
      <c r="AL243" s="389"/>
      <c r="AM243" s="389"/>
      <c r="AN243" s="389"/>
      <c r="AO243" s="389"/>
      <c r="AP243" s="389"/>
      <c r="AQ243" s="389"/>
      <c r="AR243" s="389"/>
      <c r="AS243" s="389"/>
      <c r="AT243" s="389"/>
      <c r="AU243" s="389"/>
      <c r="AV243" s="389"/>
      <c r="AW243" s="217">
        <f t="shared" si="71"/>
        <v>3</v>
      </c>
      <c r="AX243" s="217">
        <f t="shared" si="72"/>
        <v>3</v>
      </c>
      <c r="AY243" s="217">
        <f t="shared" si="73"/>
        <v>3</v>
      </c>
      <c r="AZ243" s="217">
        <f t="shared" si="74"/>
        <v>3</v>
      </c>
      <c r="BA243" s="217">
        <f t="shared" si="75"/>
        <v>0</v>
      </c>
      <c r="BB243" s="217">
        <f t="shared" si="76"/>
        <v>3</v>
      </c>
      <c r="BC243" s="217">
        <f t="shared" si="77"/>
        <v>42</v>
      </c>
      <c r="BD243" s="217"/>
      <c r="BE243" s="217">
        <f t="shared" si="78"/>
        <v>5</v>
      </c>
      <c r="BF243" s="217">
        <f t="shared" si="79"/>
        <v>5</v>
      </c>
      <c r="BG243" s="217">
        <f t="shared" si="80"/>
        <v>5</v>
      </c>
      <c r="BH243" s="217">
        <f t="shared" si="81"/>
        <v>5</v>
      </c>
      <c r="BI243" s="217">
        <f t="shared" si="82"/>
        <v>0</v>
      </c>
      <c r="BJ243" s="217">
        <f t="shared" si="83"/>
        <v>5</v>
      </c>
      <c r="BK243" s="217">
        <f t="shared" si="84"/>
        <v>70</v>
      </c>
      <c r="BL243" s="389"/>
      <c r="BM243" s="389"/>
      <c r="BN243" s="389"/>
      <c r="BO243" s="389"/>
      <c r="BP243" s="389"/>
      <c r="BQ243" s="389"/>
      <c r="BR243" s="389"/>
      <c r="BS243" s="389"/>
      <c r="BT243" s="389"/>
      <c r="BU243" s="389"/>
      <c r="BV243" s="389"/>
      <c r="BW243" s="389"/>
      <c r="BX243" s="389"/>
      <c r="BY243" s="389"/>
      <c r="BZ243" s="389"/>
      <c r="CA243" s="389"/>
      <c r="CB243" s="389"/>
      <c r="CC243" s="389"/>
      <c r="CD243" s="389"/>
      <c r="CE243" s="389"/>
      <c r="CF243" s="389"/>
      <c r="CG243" s="389"/>
      <c r="CH243" s="389"/>
      <c r="CI243" s="389"/>
      <c r="CJ243" s="389"/>
      <c r="CK243" s="389"/>
      <c r="CL243" s="389"/>
      <c r="CM243" s="389"/>
      <c r="CN243" s="389"/>
      <c r="CO243" s="389"/>
      <c r="CP243" s="389"/>
      <c r="CQ243" s="389"/>
      <c r="CR243" s="389"/>
      <c r="CS243" s="389"/>
      <c r="CT243" s="389"/>
      <c r="CU243" s="389"/>
      <c r="CV243" s="389"/>
      <c r="CW243" s="389"/>
      <c r="CX243" s="389"/>
      <c r="CY243" s="389"/>
      <c r="CZ243" s="389"/>
      <c r="DA243" s="389"/>
      <c r="DB243" s="389"/>
      <c r="DC243" s="389"/>
      <c r="DD243" s="389"/>
      <c r="DE243" s="389"/>
      <c r="DF243" s="389"/>
      <c r="DG243" s="389"/>
      <c r="DH243" s="389"/>
      <c r="DI243" s="389"/>
      <c r="DJ243" s="389"/>
      <c r="DK243" s="389"/>
      <c r="DL243" s="389"/>
      <c r="DM243" s="389"/>
      <c r="DN243" s="389"/>
      <c r="DO243" s="389"/>
      <c r="DP243" s="389"/>
      <c r="DQ243" s="389"/>
      <c r="DR243" s="389"/>
      <c r="DS243" s="389"/>
      <c r="DT243" s="389"/>
      <c r="DU243" s="389"/>
      <c r="DV243" s="389"/>
      <c r="DW243" s="389"/>
      <c r="DX243" s="389"/>
      <c r="DY243" s="389"/>
      <c r="DZ243" s="389"/>
      <c r="EA243" s="389"/>
    </row>
    <row r="244" spans="2:131" s="390" customFormat="1" ht="30" customHeight="1" x14ac:dyDescent="0.35">
      <c r="B244" s="373" t="s">
        <v>1147</v>
      </c>
      <c r="C244" s="374" t="s">
        <v>1095</v>
      </c>
      <c r="D244" s="375" t="s">
        <v>788</v>
      </c>
      <c r="E244" s="375" t="s">
        <v>788</v>
      </c>
      <c r="F244" s="375">
        <f>7+20.54804/60</f>
        <v>7.3424673333333335</v>
      </c>
      <c r="G244" s="375">
        <f>134+28.59009/60</f>
        <v>134.47650150000001</v>
      </c>
      <c r="H244" s="375">
        <f>7+20.56867/60</f>
        <v>7.3428111666666664</v>
      </c>
      <c r="I244" s="375">
        <f>134+28.59467/60</f>
        <v>134.47657783333332</v>
      </c>
      <c r="J244" s="375" t="s">
        <v>97</v>
      </c>
      <c r="K244" s="377" t="s">
        <v>421</v>
      </c>
      <c r="L244" s="375" t="s">
        <v>950</v>
      </c>
      <c r="M244" s="378">
        <v>45</v>
      </c>
      <c r="N244" s="375">
        <v>4.3</v>
      </c>
      <c r="O244" s="375">
        <v>2</v>
      </c>
      <c r="P244" s="375" t="s">
        <v>83</v>
      </c>
      <c r="Q244" s="375" t="s">
        <v>275</v>
      </c>
      <c r="R244" s="375" t="s">
        <v>1129</v>
      </c>
      <c r="S244" s="380" t="s">
        <v>92</v>
      </c>
      <c r="T244" s="154">
        <v>4</v>
      </c>
      <c r="U244" s="154">
        <v>3</v>
      </c>
      <c r="V244" s="154">
        <v>2</v>
      </c>
      <c r="W244" s="154">
        <v>3</v>
      </c>
      <c r="X244" s="154" t="s">
        <v>311</v>
      </c>
      <c r="Y244" s="154">
        <v>4</v>
      </c>
      <c r="Z244" s="154">
        <f t="shared" si="85"/>
        <v>70</v>
      </c>
      <c r="AA244" s="405">
        <f t="shared" si="68"/>
        <v>22500</v>
      </c>
      <c r="AB244" s="405">
        <f t="shared" si="69"/>
        <v>13500</v>
      </c>
      <c r="AC244" s="407">
        <f t="shared" si="70"/>
        <v>200</v>
      </c>
      <c r="AD244" s="343"/>
      <c r="AE244" s="343"/>
      <c r="AF244" s="343"/>
      <c r="AG244" s="343"/>
      <c r="AH244" s="381"/>
      <c r="AI244" s="381"/>
      <c r="AJ244" s="381">
        <f t="shared" si="87"/>
        <v>4500</v>
      </c>
      <c r="AK244" s="381"/>
      <c r="AL244" s="389"/>
      <c r="AM244" s="389"/>
      <c r="AN244" s="389"/>
      <c r="AO244" s="389"/>
      <c r="AP244" s="389"/>
      <c r="AQ244" s="389"/>
      <c r="AR244" s="389"/>
      <c r="AS244" s="389"/>
      <c r="AT244" s="389"/>
      <c r="AU244" s="389"/>
      <c r="AV244" s="389"/>
      <c r="AW244" s="217">
        <f t="shared" si="71"/>
        <v>4</v>
      </c>
      <c r="AX244" s="217">
        <f t="shared" si="72"/>
        <v>3</v>
      </c>
      <c r="AY244" s="217">
        <f t="shared" si="73"/>
        <v>2</v>
      </c>
      <c r="AZ244" s="217">
        <f t="shared" si="74"/>
        <v>3</v>
      </c>
      <c r="BA244" s="217">
        <f t="shared" si="75"/>
        <v>0</v>
      </c>
      <c r="BB244" s="217">
        <f t="shared" si="76"/>
        <v>4</v>
      </c>
      <c r="BC244" s="217">
        <f t="shared" si="77"/>
        <v>49</v>
      </c>
      <c r="BD244" s="217"/>
      <c r="BE244" s="217">
        <f t="shared" si="78"/>
        <v>5</v>
      </c>
      <c r="BF244" s="217">
        <f t="shared" si="79"/>
        <v>5</v>
      </c>
      <c r="BG244" s="217">
        <f t="shared" si="80"/>
        <v>5</v>
      </c>
      <c r="BH244" s="217">
        <f t="shared" si="81"/>
        <v>5</v>
      </c>
      <c r="BI244" s="217">
        <f t="shared" si="82"/>
        <v>0</v>
      </c>
      <c r="BJ244" s="217">
        <f t="shared" si="83"/>
        <v>5</v>
      </c>
      <c r="BK244" s="217">
        <f t="shared" si="84"/>
        <v>70</v>
      </c>
      <c r="BL244" s="389"/>
      <c r="BM244" s="389"/>
      <c r="BN244" s="389"/>
      <c r="BO244" s="389"/>
      <c r="BP244" s="389"/>
      <c r="BQ244" s="389"/>
      <c r="BR244" s="389"/>
      <c r="BS244" s="389"/>
      <c r="BT244" s="389"/>
      <c r="BU244" s="389"/>
      <c r="BV244" s="389"/>
      <c r="BW244" s="389"/>
      <c r="BX244" s="389"/>
      <c r="BY244" s="389"/>
      <c r="BZ244" s="389"/>
      <c r="CA244" s="389"/>
      <c r="CB244" s="389"/>
      <c r="CC244" s="389"/>
      <c r="CD244" s="389"/>
      <c r="CE244" s="389"/>
      <c r="CF244" s="389"/>
      <c r="CG244" s="389"/>
      <c r="CH244" s="389"/>
      <c r="CI244" s="389"/>
      <c r="CJ244" s="389"/>
      <c r="CK244" s="389"/>
      <c r="CL244" s="389"/>
      <c r="CM244" s="389"/>
      <c r="CN244" s="389"/>
      <c r="CO244" s="389"/>
      <c r="CP244" s="389"/>
      <c r="CQ244" s="389"/>
      <c r="CR244" s="389"/>
      <c r="CS244" s="389"/>
      <c r="CT244" s="389"/>
      <c r="CU244" s="389"/>
      <c r="CV244" s="389"/>
      <c r="CW244" s="389"/>
      <c r="CX244" s="389"/>
      <c r="CY244" s="389"/>
      <c r="CZ244" s="389"/>
      <c r="DA244" s="389"/>
      <c r="DB244" s="389"/>
      <c r="DC244" s="389"/>
      <c r="DD244" s="389"/>
      <c r="DE244" s="389"/>
      <c r="DF244" s="389"/>
      <c r="DG244" s="389"/>
      <c r="DH244" s="389"/>
      <c r="DI244" s="389"/>
      <c r="DJ244" s="389"/>
      <c r="DK244" s="389"/>
      <c r="DL244" s="389"/>
      <c r="DM244" s="389"/>
      <c r="DN244" s="389"/>
      <c r="DO244" s="389"/>
      <c r="DP244" s="389"/>
      <c r="DQ244" s="389"/>
      <c r="DR244" s="389"/>
      <c r="DS244" s="389"/>
      <c r="DT244" s="389"/>
      <c r="DU244" s="389"/>
      <c r="DV244" s="389"/>
      <c r="DW244" s="389"/>
      <c r="DX244" s="389"/>
      <c r="DY244" s="389"/>
      <c r="DZ244" s="389"/>
      <c r="EA244" s="389"/>
    </row>
    <row r="245" spans="2:131" s="372" customFormat="1" ht="30" customHeight="1" x14ac:dyDescent="0.35">
      <c r="B245" s="373" t="s">
        <v>1148</v>
      </c>
      <c r="C245" s="374" t="s">
        <v>817</v>
      </c>
      <c r="D245" s="375" t="s">
        <v>788</v>
      </c>
      <c r="E245" s="375" t="s">
        <v>788</v>
      </c>
      <c r="F245" s="383">
        <f>7+20/60+28/3600</f>
        <v>7.3411111111111111</v>
      </c>
      <c r="G245" s="383">
        <f>134+28/60+12/3600</f>
        <v>134.47</v>
      </c>
      <c r="H245" s="383">
        <f>7+20/60+18/3600</f>
        <v>7.3383333333333329</v>
      </c>
      <c r="I245" s="383">
        <f>134+28/60+0/3600</f>
        <v>134.46666666666667</v>
      </c>
      <c r="J245" s="375" t="s">
        <v>277</v>
      </c>
      <c r="K245" s="377" t="s">
        <v>421</v>
      </c>
      <c r="L245" s="375">
        <v>2012</v>
      </c>
      <c r="M245" s="378">
        <v>490</v>
      </c>
      <c r="N245" s="379">
        <v>6.1</v>
      </c>
      <c r="O245" s="375">
        <v>2</v>
      </c>
      <c r="P245" s="375" t="s">
        <v>83</v>
      </c>
      <c r="Q245" s="375" t="s">
        <v>275</v>
      </c>
      <c r="R245" s="375" t="s">
        <v>291</v>
      </c>
      <c r="S245" s="380" t="s">
        <v>92</v>
      </c>
      <c r="T245" s="329">
        <v>4</v>
      </c>
      <c r="U245" s="329">
        <v>4</v>
      </c>
      <c r="V245" s="329">
        <v>4</v>
      </c>
      <c r="W245" s="329">
        <v>3</v>
      </c>
      <c r="X245" s="154" t="s">
        <v>311</v>
      </c>
      <c r="Y245" s="329">
        <v>5</v>
      </c>
      <c r="Z245" s="154">
        <f t="shared" si="85"/>
        <v>85</v>
      </c>
      <c r="AA245" s="405">
        <f t="shared" si="68"/>
        <v>245000</v>
      </c>
      <c r="AB245" s="405">
        <f t="shared" si="69"/>
        <v>147000</v>
      </c>
      <c r="AC245" s="407">
        <f t="shared" si="70"/>
        <v>2200</v>
      </c>
      <c r="AD245" s="343"/>
      <c r="AE245" s="343"/>
      <c r="AF245" s="343"/>
      <c r="AG245" s="343"/>
      <c r="AH245" s="381"/>
      <c r="AI245" s="381"/>
      <c r="AJ245" s="381"/>
      <c r="AK245" s="381"/>
      <c r="AW245" s="217">
        <f t="shared" si="71"/>
        <v>4</v>
      </c>
      <c r="AX245" s="217">
        <f t="shared" si="72"/>
        <v>4</v>
      </c>
      <c r="AY245" s="217">
        <f t="shared" si="73"/>
        <v>4</v>
      </c>
      <c r="AZ245" s="217">
        <f t="shared" si="74"/>
        <v>3</v>
      </c>
      <c r="BA245" s="217">
        <f t="shared" si="75"/>
        <v>0</v>
      </c>
      <c r="BB245" s="217">
        <f t="shared" si="76"/>
        <v>5</v>
      </c>
      <c r="BC245" s="217">
        <f t="shared" si="77"/>
        <v>59</v>
      </c>
      <c r="BD245" s="217"/>
      <c r="BE245" s="217">
        <f t="shared" si="78"/>
        <v>5</v>
      </c>
      <c r="BF245" s="217">
        <f t="shared" si="79"/>
        <v>5</v>
      </c>
      <c r="BG245" s="217">
        <f t="shared" si="80"/>
        <v>5</v>
      </c>
      <c r="BH245" s="217">
        <f t="shared" si="81"/>
        <v>5</v>
      </c>
      <c r="BI245" s="217">
        <f t="shared" si="82"/>
        <v>0</v>
      </c>
      <c r="BJ245" s="217">
        <f t="shared" si="83"/>
        <v>5</v>
      </c>
      <c r="BK245" s="217">
        <f t="shared" si="84"/>
        <v>70</v>
      </c>
    </row>
    <row r="246" spans="2:131" ht="30" customHeight="1" x14ac:dyDescent="0.3">
      <c r="B246" s="373" t="s">
        <v>1149</v>
      </c>
      <c r="C246" s="391" t="s">
        <v>1109</v>
      </c>
      <c r="D246" s="375" t="s">
        <v>788</v>
      </c>
      <c r="E246" s="375" t="s">
        <v>788</v>
      </c>
      <c r="F246" s="377">
        <f>7+20.60798/60</f>
        <v>7.3434663333333337</v>
      </c>
      <c r="G246" s="377">
        <f>134+28.01147/60</f>
        <v>134.46685783333334</v>
      </c>
      <c r="H246" s="377">
        <f>7+20.69633/60</f>
        <v>7.344938833333333</v>
      </c>
      <c r="I246" s="377">
        <f>134+27.94281/60</f>
        <v>134.46571349999999</v>
      </c>
      <c r="J246" s="375" t="s">
        <v>97</v>
      </c>
      <c r="K246" s="377" t="s">
        <v>421</v>
      </c>
      <c r="L246" s="377">
        <v>2015</v>
      </c>
      <c r="M246" s="385">
        <v>380</v>
      </c>
      <c r="N246" s="377">
        <v>5.5</v>
      </c>
      <c r="O246" s="377">
        <v>2</v>
      </c>
      <c r="P246" s="377" t="s">
        <v>83</v>
      </c>
      <c r="Q246" s="375" t="s">
        <v>275</v>
      </c>
      <c r="R246" s="375" t="s">
        <v>1129</v>
      </c>
      <c r="S246" s="394" t="s">
        <v>1108</v>
      </c>
      <c r="T246" s="329">
        <v>5</v>
      </c>
      <c r="U246" s="329">
        <v>4</v>
      </c>
      <c r="V246" s="329">
        <v>4</v>
      </c>
      <c r="W246" s="329">
        <v>4</v>
      </c>
      <c r="X246" s="154" t="s">
        <v>311</v>
      </c>
      <c r="Y246" s="329">
        <v>5</v>
      </c>
      <c r="Z246" s="154">
        <f t="shared" si="85"/>
        <v>92</v>
      </c>
      <c r="AA246" s="405">
        <f t="shared" si="68"/>
        <v>190000</v>
      </c>
      <c r="AB246" s="405">
        <f t="shared" si="69"/>
        <v>114000</v>
      </c>
      <c r="AC246" s="407">
        <f t="shared" si="70"/>
        <v>1700</v>
      </c>
      <c r="AD246" s="343"/>
      <c r="AE246" s="343"/>
      <c r="AF246" s="343"/>
      <c r="AG246" s="343"/>
      <c r="AH246" s="381"/>
      <c r="AI246" s="381"/>
      <c r="AJ246" s="381"/>
      <c r="AK246" s="381"/>
      <c r="AW246" s="217">
        <f t="shared" si="71"/>
        <v>5</v>
      </c>
      <c r="AX246" s="217">
        <f t="shared" si="72"/>
        <v>4</v>
      </c>
      <c r="AY246" s="217">
        <f t="shared" si="73"/>
        <v>4</v>
      </c>
      <c r="AZ246" s="217">
        <f t="shared" si="74"/>
        <v>4</v>
      </c>
      <c r="BA246" s="217">
        <f t="shared" si="75"/>
        <v>0</v>
      </c>
      <c r="BB246" s="217">
        <f t="shared" si="76"/>
        <v>5</v>
      </c>
      <c r="BC246" s="217">
        <f t="shared" si="77"/>
        <v>64</v>
      </c>
      <c r="BD246" s="217"/>
      <c r="BE246" s="217">
        <f t="shared" si="78"/>
        <v>5</v>
      </c>
      <c r="BF246" s="217">
        <f t="shared" si="79"/>
        <v>5</v>
      </c>
      <c r="BG246" s="217">
        <f t="shared" si="80"/>
        <v>5</v>
      </c>
      <c r="BH246" s="217">
        <f t="shared" si="81"/>
        <v>5</v>
      </c>
      <c r="BI246" s="217">
        <f t="shared" si="82"/>
        <v>0</v>
      </c>
      <c r="BJ246" s="217">
        <f t="shared" si="83"/>
        <v>5</v>
      </c>
      <c r="BK246" s="217">
        <f t="shared" si="84"/>
        <v>70</v>
      </c>
    </row>
    <row r="247" spans="2:131" s="372" customFormat="1" ht="30" customHeight="1" x14ac:dyDescent="0.35">
      <c r="B247" s="373" t="s">
        <v>1145</v>
      </c>
      <c r="C247" s="374" t="s">
        <v>818</v>
      </c>
      <c r="D247" s="375" t="s">
        <v>819</v>
      </c>
      <c r="E247" s="375" t="s">
        <v>819</v>
      </c>
      <c r="F247" s="383">
        <f>7+20/60+10/3600</f>
        <v>7.3361111111111112</v>
      </c>
      <c r="G247" s="383">
        <f>134+27/60+22/3600</f>
        <v>134.45611111111111</v>
      </c>
      <c r="H247" s="383">
        <f>7+20/60+11/3600</f>
        <v>7.3363888888888882</v>
      </c>
      <c r="I247" s="383">
        <f>134+27/60+16/3600</f>
        <v>134.45444444444442</v>
      </c>
      <c r="J247" s="375" t="s">
        <v>97</v>
      </c>
      <c r="K247" s="377" t="s">
        <v>421</v>
      </c>
      <c r="L247" s="375">
        <v>2012</v>
      </c>
      <c r="M247" s="378">
        <v>190</v>
      </c>
      <c r="N247" s="379">
        <v>5.5</v>
      </c>
      <c r="O247" s="375">
        <v>2</v>
      </c>
      <c r="P247" s="375" t="s">
        <v>83</v>
      </c>
      <c r="Q247" s="375" t="s">
        <v>275</v>
      </c>
      <c r="R247" s="375" t="s">
        <v>821</v>
      </c>
      <c r="S247" s="380" t="s">
        <v>820</v>
      </c>
      <c r="T247" s="154">
        <v>5</v>
      </c>
      <c r="U247" s="154">
        <v>5</v>
      </c>
      <c r="V247" s="154">
        <v>4</v>
      </c>
      <c r="W247" s="154">
        <v>4</v>
      </c>
      <c r="X247" s="154">
        <v>3</v>
      </c>
      <c r="Y247" s="154">
        <v>5</v>
      </c>
      <c r="Z247" s="154">
        <f t="shared" si="85"/>
        <v>95</v>
      </c>
      <c r="AA247" s="405">
        <f t="shared" si="68"/>
        <v>95000</v>
      </c>
      <c r="AB247" s="405">
        <f t="shared" si="69"/>
        <v>57000</v>
      </c>
      <c r="AC247" s="407">
        <f t="shared" si="70"/>
        <v>900</v>
      </c>
      <c r="AD247" s="343"/>
      <c r="AE247" s="343"/>
      <c r="AF247" s="343"/>
      <c r="AG247" s="343"/>
      <c r="AH247" s="381"/>
      <c r="AI247" s="381"/>
      <c r="AJ247" s="381"/>
      <c r="AK247" s="381"/>
      <c r="AW247" s="217">
        <f t="shared" si="71"/>
        <v>5</v>
      </c>
      <c r="AX247" s="217">
        <f t="shared" si="72"/>
        <v>5</v>
      </c>
      <c r="AY247" s="217">
        <f t="shared" si="73"/>
        <v>4</v>
      </c>
      <c r="AZ247" s="217">
        <f t="shared" si="74"/>
        <v>4</v>
      </c>
      <c r="BA247" s="217">
        <f t="shared" si="75"/>
        <v>3</v>
      </c>
      <c r="BB247" s="217">
        <f t="shared" si="76"/>
        <v>5</v>
      </c>
      <c r="BC247" s="217">
        <f t="shared" si="77"/>
        <v>71</v>
      </c>
      <c r="BD247" s="217"/>
      <c r="BE247" s="217">
        <f t="shared" si="78"/>
        <v>5</v>
      </c>
      <c r="BF247" s="217">
        <f t="shared" si="79"/>
        <v>5</v>
      </c>
      <c r="BG247" s="217">
        <f t="shared" si="80"/>
        <v>5</v>
      </c>
      <c r="BH247" s="217">
        <f t="shared" si="81"/>
        <v>5</v>
      </c>
      <c r="BI247" s="217">
        <f t="shared" si="82"/>
        <v>5</v>
      </c>
      <c r="BJ247" s="217">
        <f t="shared" si="83"/>
        <v>5</v>
      </c>
      <c r="BK247" s="217">
        <f t="shared" si="84"/>
        <v>75</v>
      </c>
    </row>
    <row r="248" spans="2:131" s="372" customFormat="1" ht="30" customHeight="1" x14ac:dyDescent="0.35">
      <c r="B248" s="373" t="s">
        <v>1150</v>
      </c>
      <c r="C248" s="374" t="s">
        <v>822</v>
      </c>
      <c r="D248" s="375" t="s">
        <v>819</v>
      </c>
      <c r="E248" s="375" t="s">
        <v>819</v>
      </c>
      <c r="F248" s="383">
        <f>7+20/60+11/3600</f>
        <v>7.3363888888888882</v>
      </c>
      <c r="G248" s="383">
        <f>134+27/60+16/3600</f>
        <v>134.45444444444442</v>
      </c>
      <c r="H248" s="383">
        <f>7+20/60+6/3600</f>
        <v>7.335</v>
      </c>
      <c r="I248" s="383">
        <f>134+27/60+3/3600</f>
        <v>134.45083333333332</v>
      </c>
      <c r="J248" s="375" t="s">
        <v>97</v>
      </c>
      <c r="K248" s="377" t="s">
        <v>421</v>
      </c>
      <c r="L248" s="375">
        <v>2015</v>
      </c>
      <c r="M248" s="378">
        <v>425</v>
      </c>
      <c r="N248" s="379">
        <v>5.5</v>
      </c>
      <c r="O248" s="375">
        <v>2</v>
      </c>
      <c r="P248" s="375" t="s">
        <v>83</v>
      </c>
      <c r="Q248" s="375" t="s">
        <v>275</v>
      </c>
      <c r="R248" s="375" t="s">
        <v>821</v>
      </c>
      <c r="S248" s="380" t="s">
        <v>820</v>
      </c>
      <c r="T248" s="154">
        <v>5</v>
      </c>
      <c r="U248" s="154">
        <v>5</v>
      </c>
      <c r="V248" s="154">
        <v>4</v>
      </c>
      <c r="W248" s="154">
        <v>4</v>
      </c>
      <c r="X248" s="154">
        <v>3</v>
      </c>
      <c r="Y248" s="154">
        <v>5</v>
      </c>
      <c r="Z248" s="154">
        <f t="shared" si="85"/>
        <v>95</v>
      </c>
      <c r="AA248" s="405">
        <f t="shared" si="68"/>
        <v>212500</v>
      </c>
      <c r="AB248" s="405">
        <f t="shared" si="69"/>
        <v>127500</v>
      </c>
      <c r="AC248" s="407">
        <f t="shared" si="70"/>
        <v>1900</v>
      </c>
      <c r="AD248" s="343"/>
      <c r="AE248" s="343"/>
      <c r="AF248" s="343"/>
      <c r="AG248" s="343"/>
      <c r="AH248" s="381"/>
      <c r="AI248" s="381"/>
      <c r="AJ248" s="381"/>
      <c r="AK248" s="381"/>
      <c r="AW248" s="217">
        <f t="shared" si="71"/>
        <v>5</v>
      </c>
      <c r="AX248" s="217">
        <f t="shared" si="72"/>
        <v>5</v>
      </c>
      <c r="AY248" s="217">
        <f t="shared" si="73"/>
        <v>4</v>
      </c>
      <c r="AZ248" s="217">
        <f t="shared" si="74"/>
        <v>4</v>
      </c>
      <c r="BA248" s="217">
        <f t="shared" si="75"/>
        <v>3</v>
      </c>
      <c r="BB248" s="217">
        <f t="shared" si="76"/>
        <v>5</v>
      </c>
      <c r="BC248" s="217">
        <f t="shared" si="77"/>
        <v>71</v>
      </c>
      <c r="BD248" s="217"/>
      <c r="BE248" s="217">
        <f t="shared" si="78"/>
        <v>5</v>
      </c>
      <c r="BF248" s="217">
        <f t="shared" si="79"/>
        <v>5</v>
      </c>
      <c r="BG248" s="217">
        <f t="shared" si="80"/>
        <v>5</v>
      </c>
      <c r="BH248" s="217">
        <f t="shared" si="81"/>
        <v>5</v>
      </c>
      <c r="BI248" s="217">
        <f t="shared" si="82"/>
        <v>5</v>
      </c>
      <c r="BJ248" s="217">
        <f t="shared" si="83"/>
        <v>5</v>
      </c>
      <c r="BK248" s="217">
        <f t="shared" si="84"/>
        <v>75</v>
      </c>
    </row>
    <row r="249" spans="2:131" s="372" customFormat="1" ht="30" customHeight="1" x14ac:dyDescent="0.35">
      <c r="B249" s="373" t="s">
        <v>1151</v>
      </c>
      <c r="C249" s="374" t="s">
        <v>823</v>
      </c>
      <c r="D249" s="375" t="s">
        <v>819</v>
      </c>
      <c r="E249" s="375" t="s">
        <v>819</v>
      </c>
      <c r="F249" s="383">
        <f>7+19/60+56/3600</f>
        <v>7.3322222222222218</v>
      </c>
      <c r="G249" s="383">
        <f>134+27/60+20/3600</f>
        <v>134.45555555555555</v>
      </c>
      <c r="H249" s="383">
        <f>7+19/60+54/3600</f>
        <v>7.3316666666666661</v>
      </c>
      <c r="I249" s="383">
        <f>134+27/60+23/3600</f>
        <v>134.45638888888888</v>
      </c>
      <c r="J249" s="375" t="s">
        <v>97</v>
      </c>
      <c r="K249" s="377" t="s">
        <v>421</v>
      </c>
      <c r="L249" s="375">
        <v>2012</v>
      </c>
      <c r="M249" s="378">
        <v>10</v>
      </c>
      <c r="N249" s="379">
        <v>125</v>
      </c>
      <c r="O249" s="375">
        <v>2</v>
      </c>
      <c r="P249" s="375" t="s">
        <v>83</v>
      </c>
      <c r="Q249" s="375" t="s">
        <v>275</v>
      </c>
      <c r="R249" s="375" t="s">
        <v>291</v>
      </c>
      <c r="S249" s="380" t="s">
        <v>820</v>
      </c>
      <c r="T249" s="154">
        <v>5</v>
      </c>
      <c r="U249" s="154">
        <v>5</v>
      </c>
      <c r="V249" s="154">
        <v>5</v>
      </c>
      <c r="W249" s="154">
        <v>5</v>
      </c>
      <c r="X249" s="154">
        <v>4</v>
      </c>
      <c r="Y249" s="154">
        <v>5</v>
      </c>
      <c r="Z249" s="154">
        <f t="shared" si="85"/>
        <v>99</v>
      </c>
      <c r="AA249" s="405">
        <f t="shared" si="68"/>
        <v>5000</v>
      </c>
      <c r="AB249" s="405">
        <f t="shared" si="69"/>
        <v>3000</v>
      </c>
      <c r="AC249" s="407">
        <f t="shared" si="70"/>
        <v>0</v>
      </c>
      <c r="AD249" s="343"/>
      <c r="AE249" s="343"/>
      <c r="AF249" s="343"/>
      <c r="AG249" s="343"/>
      <c r="AH249" s="381"/>
      <c r="AI249" s="381"/>
      <c r="AJ249" s="381"/>
      <c r="AK249" s="381"/>
      <c r="AW249" s="217">
        <f t="shared" si="71"/>
        <v>5</v>
      </c>
      <c r="AX249" s="217">
        <f t="shared" si="72"/>
        <v>5</v>
      </c>
      <c r="AY249" s="217">
        <f t="shared" si="73"/>
        <v>5</v>
      </c>
      <c r="AZ249" s="217">
        <f t="shared" si="74"/>
        <v>5</v>
      </c>
      <c r="BA249" s="217">
        <f t="shared" si="75"/>
        <v>4</v>
      </c>
      <c r="BB249" s="217">
        <f t="shared" si="76"/>
        <v>5</v>
      </c>
      <c r="BC249" s="217">
        <f t="shared" si="77"/>
        <v>74</v>
      </c>
      <c r="BD249" s="217"/>
      <c r="BE249" s="217">
        <f t="shared" si="78"/>
        <v>5</v>
      </c>
      <c r="BF249" s="217">
        <f t="shared" si="79"/>
        <v>5</v>
      </c>
      <c r="BG249" s="217">
        <f t="shared" si="80"/>
        <v>5</v>
      </c>
      <c r="BH249" s="217">
        <f t="shared" si="81"/>
        <v>5</v>
      </c>
      <c r="BI249" s="217">
        <f t="shared" si="82"/>
        <v>5</v>
      </c>
      <c r="BJ249" s="217">
        <f t="shared" si="83"/>
        <v>5</v>
      </c>
      <c r="BK249" s="217">
        <f t="shared" si="84"/>
        <v>75</v>
      </c>
    </row>
    <row r="250" spans="2:131" s="372" customFormat="1" ht="30" customHeight="1" x14ac:dyDescent="0.35">
      <c r="B250" s="373"/>
      <c r="C250" s="374"/>
      <c r="D250" s="375"/>
      <c r="E250" s="375"/>
      <c r="F250" s="383"/>
      <c r="G250" s="383"/>
      <c r="H250" s="383"/>
      <c r="I250" s="383"/>
      <c r="J250" s="375"/>
      <c r="K250" s="377"/>
      <c r="L250" s="375"/>
      <c r="M250" s="378"/>
      <c r="N250" s="379"/>
      <c r="O250" s="375"/>
      <c r="P250" s="375"/>
      <c r="Q250" s="375"/>
      <c r="R250" s="375"/>
      <c r="S250" s="380"/>
      <c r="T250" s="154"/>
      <c r="U250" s="154"/>
      <c r="V250" s="154"/>
      <c r="W250" s="154"/>
      <c r="X250" s="154"/>
      <c r="Y250" s="154"/>
      <c r="Z250" s="154"/>
      <c r="AA250" s="405">
        <f t="shared" si="68"/>
        <v>0</v>
      </c>
      <c r="AB250" s="405">
        <f t="shared" si="69"/>
        <v>0</v>
      </c>
      <c r="AC250" s="407">
        <f t="shared" si="70"/>
        <v>0</v>
      </c>
      <c r="AD250" s="343"/>
      <c r="AE250" s="343"/>
      <c r="AF250" s="343"/>
      <c r="AG250" s="343"/>
      <c r="AH250" s="381"/>
      <c r="AI250" s="381"/>
      <c r="AJ250" s="381"/>
      <c r="AK250" s="381"/>
      <c r="AW250" s="217">
        <f t="shared" si="71"/>
        <v>0</v>
      </c>
      <c r="AX250" s="217">
        <f t="shared" si="72"/>
        <v>0</v>
      </c>
      <c r="AY250" s="217">
        <f t="shared" si="73"/>
        <v>0</v>
      </c>
      <c r="AZ250" s="217">
        <f t="shared" si="74"/>
        <v>0</v>
      </c>
      <c r="BA250" s="217">
        <f t="shared" si="75"/>
        <v>0</v>
      </c>
      <c r="BB250" s="217">
        <f t="shared" si="76"/>
        <v>0</v>
      </c>
      <c r="BC250" s="217">
        <f t="shared" si="77"/>
        <v>0</v>
      </c>
      <c r="BD250" s="217"/>
      <c r="BE250" s="217">
        <f t="shared" si="78"/>
        <v>0</v>
      </c>
      <c r="BF250" s="217">
        <f t="shared" si="79"/>
        <v>0</v>
      </c>
      <c r="BG250" s="217">
        <f t="shared" si="80"/>
        <v>0</v>
      </c>
      <c r="BH250" s="217">
        <f t="shared" si="81"/>
        <v>0</v>
      </c>
      <c r="BI250" s="217">
        <f t="shared" si="82"/>
        <v>0</v>
      </c>
      <c r="BJ250" s="217">
        <f t="shared" si="83"/>
        <v>0</v>
      </c>
      <c r="BK250" s="217">
        <f t="shared" si="84"/>
        <v>0</v>
      </c>
    </row>
    <row r="251" spans="2:131" s="372" customFormat="1" ht="30" customHeight="1" x14ac:dyDescent="0.35">
      <c r="B251" s="373" t="s">
        <v>824</v>
      </c>
      <c r="C251" s="374" t="s">
        <v>826</v>
      </c>
      <c r="D251" s="375" t="s">
        <v>827</v>
      </c>
      <c r="E251" s="375" t="s">
        <v>828</v>
      </c>
      <c r="F251" s="383">
        <f>7+2/60+55/3600</f>
        <v>7.0486111111111107</v>
      </c>
      <c r="G251" s="383">
        <f>134+16/60+0/3600</f>
        <v>134.26666666666668</v>
      </c>
      <c r="H251" s="383">
        <f>7+2/60+32/3600</f>
        <v>7.0422222222222217</v>
      </c>
      <c r="I251" s="383">
        <f>134+15/60+16/3600</f>
        <v>134.25444444444443</v>
      </c>
      <c r="J251" s="375" t="s">
        <v>99</v>
      </c>
      <c r="K251" s="377">
        <v>2001</v>
      </c>
      <c r="L251" s="375">
        <v>2015</v>
      </c>
      <c r="M251" s="378">
        <v>1275</v>
      </c>
      <c r="N251" s="379">
        <v>7.3</v>
      </c>
      <c r="O251" s="375">
        <v>2</v>
      </c>
      <c r="P251" s="375" t="s">
        <v>83</v>
      </c>
      <c r="Q251" s="375" t="s">
        <v>829</v>
      </c>
      <c r="R251" s="375" t="s">
        <v>270</v>
      </c>
      <c r="S251" s="380" t="s">
        <v>729</v>
      </c>
      <c r="T251" s="154">
        <v>5</v>
      </c>
      <c r="U251" s="154">
        <v>4</v>
      </c>
      <c r="V251" s="154">
        <v>4</v>
      </c>
      <c r="W251" s="154">
        <v>5</v>
      </c>
      <c r="X251" s="154">
        <v>4</v>
      </c>
      <c r="Y251" s="154">
        <v>5</v>
      </c>
      <c r="Z251" s="154">
        <f t="shared" si="85"/>
        <v>92</v>
      </c>
      <c r="AA251" s="405">
        <f t="shared" si="68"/>
        <v>637500</v>
      </c>
      <c r="AB251" s="405">
        <f t="shared" si="69"/>
        <v>382500</v>
      </c>
      <c r="AC251" s="407">
        <f t="shared" si="70"/>
        <v>5700</v>
      </c>
      <c r="AD251" s="343"/>
      <c r="AE251" s="343"/>
      <c r="AF251" s="343"/>
      <c r="AG251" s="343"/>
      <c r="AH251" s="381"/>
      <c r="AI251" s="381"/>
      <c r="AJ251" s="381"/>
      <c r="AK251" s="381"/>
      <c r="AW251" s="217">
        <f t="shared" si="71"/>
        <v>5</v>
      </c>
      <c r="AX251" s="217">
        <f t="shared" si="72"/>
        <v>4</v>
      </c>
      <c r="AY251" s="217">
        <f t="shared" si="73"/>
        <v>4</v>
      </c>
      <c r="AZ251" s="217">
        <f t="shared" si="74"/>
        <v>5</v>
      </c>
      <c r="BA251" s="217">
        <f t="shared" si="75"/>
        <v>4</v>
      </c>
      <c r="BB251" s="217">
        <f t="shared" si="76"/>
        <v>5</v>
      </c>
      <c r="BC251" s="217">
        <f t="shared" si="77"/>
        <v>69</v>
      </c>
      <c r="BD251" s="217"/>
      <c r="BE251" s="217">
        <f t="shared" si="78"/>
        <v>5</v>
      </c>
      <c r="BF251" s="217">
        <f t="shared" si="79"/>
        <v>5</v>
      </c>
      <c r="BG251" s="217">
        <f t="shared" si="80"/>
        <v>5</v>
      </c>
      <c r="BH251" s="217">
        <f t="shared" si="81"/>
        <v>5</v>
      </c>
      <c r="BI251" s="217">
        <f t="shared" si="82"/>
        <v>5</v>
      </c>
      <c r="BJ251" s="217">
        <f t="shared" si="83"/>
        <v>5</v>
      </c>
      <c r="BK251" s="217">
        <f t="shared" si="84"/>
        <v>75</v>
      </c>
    </row>
    <row r="252" spans="2:131" s="372" customFormat="1" ht="30" customHeight="1" x14ac:dyDescent="0.35">
      <c r="B252" s="373" t="s">
        <v>830</v>
      </c>
      <c r="C252" s="374" t="s">
        <v>831</v>
      </c>
      <c r="D252" s="375" t="s">
        <v>827</v>
      </c>
      <c r="E252" s="375" t="s">
        <v>828</v>
      </c>
      <c r="F252" s="383">
        <f>7+2/60+53/3600</f>
        <v>7.0480555555555551</v>
      </c>
      <c r="G252" s="383">
        <f>134+15/60+58/3600</f>
        <v>134.26611111111112</v>
      </c>
      <c r="H252" s="383">
        <f>7+2/60+32/3600</f>
        <v>7.0422222222222217</v>
      </c>
      <c r="I252" s="383">
        <f>134+15/60+27/3600</f>
        <v>134.25749999999999</v>
      </c>
      <c r="J252" s="375" t="s">
        <v>277</v>
      </c>
      <c r="K252" s="377">
        <v>2001</v>
      </c>
      <c r="L252" s="375" t="s">
        <v>311</v>
      </c>
      <c r="M252" s="378">
        <v>2120</v>
      </c>
      <c r="N252" s="379">
        <v>5.5</v>
      </c>
      <c r="O252" s="375">
        <v>2</v>
      </c>
      <c r="P252" s="375" t="s">
        <v>83</v>
      </c>
      <c r="Q252" s="375" t="s">
        <v>829</v>
      </c>
      <c r="R252" s="375" t="s">
        <v>270</v>
      </c>
      <c r="S252" s="380" t="s">
        <v>92</v>
      </c>
      <c r="T252" s="154">
        <v>4</v>
      </c>
      <c r="U252" s="154">
        <v>3</v>
      </c>
      <c r="V252" s="154">
        <v>3</v>
      </c>
      <c r="W252" s="154">
        <v>3</v>
      </c>
      <c r="X252" s="154" t="s">
        <v>311</v>
      </c>
      <c r="Y252" s="154">
        <v>3</v>
      </c>
      <c r="Z252" s="154">
        <f t="shared" si="85"/>
        <v>66</v>
      </c>
      <c r="AA252" s="405">
        <f t="shared" si="68"/>
        <v>1060000</v>
      </c>
      <c r="AB252" s="405">
        <f t="shared" si="69"/>
        <v>636000</v>
      </c>
      <c r="AC252" s="407">
        <f t="shared" si="70"/>
        <v>9500</v>
      </c>
      <c r="AD252" s="343"/>
      <c r="AE252" s="343"/>
      <c r="AF252" s="343"/>
      <c r="AG252" s="343"/>
      <c r="AH252" s="381"/>
      <c r="AI252" s="381"/>
      <c r="AJ252" s="381"/>
      <c r="AK252" s="381"/>
      <c r="AW252" s="217">
        <f t="shared" si="71"/>
        <v>4</v>
      </c>
      <c r="AX252" s="217">
        <f t="shared" si="72"/>
        <v>3</v>
      </c>
      <c r="AY252" s="217">
        <f t="shared" si="73"/>
        <v>3</v>
      </c>
      <c r="AZ252" s="217">
        <f t="shared" si="74"/>
        <v>3</v>
      </c>
      <c r="BA252" s="217">
        <f t="shared" si="75"/>
        <v>0</v>
      </c>
      <c r="BB252" s="217">
        <f t="shared" si="76"/>
        <v>3</v>
      </c>
      <c r="BC252" s="217">
        <f t="shared" si="77"/>
        <v>46</v>
      </c>
      <c r="BD252" s="217"/>
      <c r="BE252" s="217">
        <f t="shared" si="78"/>
        <v>5</v>
      </c>
      <c r="BF252" s="217">
        <f t="shared" si="79"/>
        <v>5</v>
      </c>
      <c r="BG252" s="217">
        <f t="shared" si="80"/>
        <v>5</v>
      </c>
      <c r="BH252" s="217">
        <f t="shared" si="81"/>
        <v>5</v>
      </c>
      <c r="BI252" s="217">
        <f t="shared" si="82"/>
        <v>0</v>
      </c>
      <c r="BJ252" s="217">
        <f t="shared" si="83"/>
        <v>5</v>
      </c>
      <c r="BK252" s="217">
        <f t="shared" si="84"/>
        <v>70</v>
      </c>
    </row>
    <row r="253" spans="2:131" s="372" customFormat="1" ht="30" customHeight="1" x14ac:dyDescent="0.35">
      <c r="B253" s="373" t="s">
        <v>962</v>
      </c>
      <c r="C253" s="374" t="s">
        <v>963</v>
      </c>
      <c r="D253" s="375" t="s">
        <v>828</v>
      </c>
      <c r="E253" s="375" t="s">
        <v>964</v>
      </c>
      <c r="F253" s="383">
        <f>7+2/60+33/3600</f>
        <v>7.0424999999999995</v>
      </c>
      <c r="G253" s="383">
        <f>134+15/60+28/3600</f>
        <v>134.25777777777779</v>
      </c>
      <c r="H253" s="383">
        <f>7+1/60+0/3600</f>
        <v>7.0166666666666666</v>
      </c>
      <c r="I253" s="383">
        <f>134+14/60+13/3600</f>
        <v>134.23694444444442</v>
      </c>
      <c r="J253" s="375" t="s">
        <v>277</v>
      </c>
      <c r="K253" s="377">
        <v>2001</v>
      </c>
      <c r="L253" s="375">
        <v>2015</v>
      </c>
      <c r="M253" s="378">
        <v>3885</v>
      </c>
      <c r="N253" s="379">
        <v>7.3</v>
      </c>
      <c r="O253" s="375">
        <v>2</v>
      </c>
      <c r="P253" s="375" t="s">
        <v>83</v>
      </c>
      <c r="Q253" s="375" t="s">
        <v>829</v>
      </c>
      <c r="R253" s="375" t="s">
        <v>270</v>
      </c>
      <c r="S253" s="380" t="s">
        <v>92</v>
      </c>
      <c r="T253" s="154">
        <v>4</v>
      </c>
      <c r="U253" s="154">
        <v>4</v>
      </c>
      <c r="V253" s="154">
        <v>2</v>
      </c>
      <c r="W253" s="154">
        <v>5</v>
      </c>
      <c r="X253" s="154" t="s">
        <v>311</v>
      </c>
      <c r="Y253" s="154">
        <v>4</v>
      </c>
      <c r="Z253" s="154">
        <f t="shared" si="85"/>
        <v>79</v>
      </c>
      <c r="AA253" s="405">
        <f t="shared" si="68"/>
        <v>1942500</v>
      </c>
      <c r="AB253" s="405">
        <f t="shared" si="69"/>
        <v>1165500</v>
      </c>
      <c r="AC253" s="407">
        <f t="shared" si="70"/>
        <v>17500</v>
      </c>
      <c r="AD253" s="343"/>
      <c r="AE253" s="343"/>
      <c r="AF253" s="343"/>
      <c r="AG253" s="343"/>
      <c r="AH253" s="381"/>
      <c r="AI253" s="381"/>
      <c r="AJ253" s="381">
        <f t="shared" si="87"/>
        <v>388500</v>
      </c>
      <c r="AK253" s="381"/>
      <c r="AW253" s="217">
        <f t="shared" si="71"/>
        <v>4</v>
      </c>
      <c r="AX253" s="217">
        <f t="shared" si="72"/>
        <v>4</v>
      </c>
      <c r="AY253" s="217">
        <f t="shared" si="73"/>
        <v>2</v>
      </c>
      <c r="AZ253" s="217">
        <f t="shared" si="74"/>
        <v>5</v>
      </c>
      <c r="BA253" s="217">
        <f t="shared" si="75"/>
        <v>0</v>
      </c>
      <c r="BB253" s="217">
        <f t="shared" si="76"/>
        <v>4</v>
      </c>
      <c r="BC253" s="217">
        <f t="shared" si="77"/>
        <v>55</v>
      </c>
      <c r="BD253" s="217"/>
      <c r="BE253" s="217">
        <f t="shared" si="78"/>
        <v>5</v>
      </c>
      <c r="BF253" s="217">
        <f t="shared" si="79"/>
        <v>5</v>
      </c>
      <c r="BG253" s="217">
        <f t="shared" si="80"/>
        <v>5</v>
      </c>
      <c r="BH253" s="217">
        <f t="shared" si="81"/>
        <v>5</v>
      </c>
      <c r="BI253" s="217">
        <f t="shared" si="82"/>
        <v>0</v>
      </c>
      <c r="BJ253" s="217">
        <f t="shared" si="83"/>
        <v>5</v>
      </c>
      <c r="BK253" s="217">
        <f t="shared" si="84"/>
        <v>70</v>
      </c>
    </row>
    <row r="254" spans="2:131" s="372" customFormat="1" ht="30" customHeight="1" x14ac:dyDescent="0.35">
      <c r="B254" s="373" t="s">
        <v>965</v>
      </c>
      <c r="C254" s="374" t="s">
        <v>1154</v>
      </c>
      <c r="D254" s="375" t="s">
        <v>828</v>
      </c>
      <c r="E254" s="375" t="s">
        <v>964</v>
      </c>
      <c r="F254" s="383">
        <f>7+2/60+32/3600</f>
        <v>7.0422222222222217</v>
      </c>
      <c r="G254" s="383">
        <f>134+15/60+26/3600</f>
        <v>134.25722222222223</v>
      </c>
      <c r="H254" s="383">
        <f>7+1/60+1/3600</f>
        <v>7.0169444444444444</v>
      </c>
      <c r="I254" s="383">
        <f>134+14/60+14/3600</f>
        <v>134.23722222222221</v>
      </c>
      <c r="J254" s="375" t="s">
        <v>99</v>
      </c>
      <c r="K254" s="377">
        <v>2003</v>
      </c>
      <c r="L254" s="375" t="s">
        <v>311</v>
      </c>
      <c r="M254" s="378">
        <v>3670</v>
      </c>
      <c r="N254" s="379">
        <v>7.3</v>
      </c>
      <c r="O254" s="375">
        <v>2</v>
      </c>
      <c r="P254" s="375" t="s">
        <v>83</v>
      </c>
      <c r="Q254" s="375" t="s">
        <v>275</v>
      </c>
      <c r="R254" s="375" t="s">
        <v>966</v>
      </c>
      <c r="S254" s="380" t="s">
        <v>820</v>
      </c>
      <c r="T254" s="154">
        <v>5</v>
      </c>
      <c r="U254" s="154">
        <v>4</v>
      </c>
      <c r="V254" s="154">
        <v>4</v>
      </c>
      <c r="W254" s="154">
        <v>4</v>
      </c>
      <c r="X254" s="154">
        <v>5</v>
      </c>
      <c r="Y254" s="154">
        <v>5</v>
      </c>
      <c r="Z254" s="154">
        <f t="shared" si="85"/>
        <v>92</v>
      </c>
      <c r="AA254" s="405">
        <f t="shared" si="68"/>
        <v>1835000</v>
      </c>
      <c r="AB254" s="405">
        <f t="shared" si="69"/>
        <v>1101000</v>
      </c>
      <c r="AC254" s="407">
        <f t="shared" si="70"/>
        <v>16500</v>
      </c>
      <c r="AD254" s="343"/>
      <c r="AE254" s="343"/>
      <c r="AF254" s="343"/>
      <c r="AG254" s="343"/>
      <c r="AH254" s="381"/>
      <c r="AI254" s="381"/>
      <c r="AJ254" s="381"/>
      <c r="AK254" s="381"/>
      <c r="AW254" s="217">
        <f t="shared" si="71"/>
        <v>5</v>
      </c>
      <c r="AX254" s="217">
        <f t="shared" si="72"/>
        <v>4</v>
      </c>
      <c r="AY254" s="217">
        <f t="shared" si="73"/>
        <v>4</v>
      </c>
      <c r="AZ254" s="217">
        <f t="shared" si="74"/>
        <v>4</v>
      </c>
      <c r="BA254" s="217">
        <f t="shared" si="75"/>
        <v>5</v>
      </c>
      <c r="BB254" s="217">
        <f t="shared" si="76"/>
        <v>5</v>
      </c>
      <c r="BC254" s="217">
        <f t="shared" si="77"/>
        <v>69</v>
      </c>
      <c r="BD254" s="217"/>
      <c r="BE254" s="217">
        <f t="shared" si="78"/>
        <v>5</v>
      </c>
      <c r="BF254" s="217">
        <f t="shared" si="79"/>
        <v>5</v>
      </c>
      <c r="BG254" s="217">
        <f t="shared" si="80"/>
        <v>5</v>
      </c>
      <c r="BH254" s="217">
        <f t="shared" si="81"/>
        <v>5</v>
      </c>
      <c r="BI254" s="217">
        <f t="shared" si="82"/>
        <v>5</v>
      </c>
      <c r="BJ254" s="217">
        <f t="shared" si="83"/>
        <v>5</v>
      </c>
      <c r="BK254" s="217">
        <f t="shared" si="84"/>
        <v>75</v>
      </c>
    </row>
    <row r="255" spans="2:131" s="372" customFormat="1" ht="30" customHeight="1" x14ac:dyDescent="0.35">
      <c r="B255" s="373" t="s">
        <v>1152</v>
      </c>
      <c r="C255" s="374" t="s">
        <v>1153</v>
      </c>
      <c r="D255" s="375" t="s">
        <v>964</v>
      </c>
      <c r="E255" s="375" t="s">
        <v>1155</v>
      </c>
      <c r="F255" s="383">
        <f>7+1/60+1/3600</f>
        <v>7.0169444444444444</v>
      </c>
      <c r="G255" s="383">
        <f>134+14/60+14/3600</f>
        <v>134.23722222222221</v>
      </c>
      <c r="H255" s="383">
        <f>6+59/60+9/3600</f>
        <v>6.9858333333333338</v>
      </c>
      <c r="I255" s="383">
        <f>134+13/60+16/3600</f>
        <v>134.2211111111111</v>
      </c>
      <c r="J255" s="375" t="s">
        <v>99</v>
      </c>
      <c r="K255" s="377" t="s">
        <v>421</v>
      </c>
      <c r="L255" s="375" t="s">
        <v>311</v>
      </c>
      <c r="M255" s="378">
        <v>4470</v>
      </c>
      <c r="N255" s="379">
        <v>5.5</v>
      </c>
      <c r="O255" s="375">
        <v>2</v>
      </c>
      <c r="P255" s="375" t="s">
        <v>83</v>
      </c>
      <c r="Q255" s="375" t="s">
        <v>1156</v>
      </c>
      <c r="R255" s="375" t="s">
        <v>92</v>
      </c>
      <c r="S255" s="380" t="s">
        <v>92</v>
      </c>
      <c r="T255" s="154">
        <v>3</v>
      </c>
      <c r="U255" s="154">
        <v>2</v>
      </c>
      <c r="V255" s="154" t="s">
        <v>311</v>
      </c>
      <c r="W255" s="154">
        <v>3</v>
      </c>
      <c r="X255" s="154" t="s">
        <v>311</v>
      </c>
      <c r="Y255" s="154">
        <v>3</v>
      </c>
      <c r="Z255" s="154">
        <f t="shared" si="85"/>
        <v>54</v>
      </c>
      <c r="AA255" s="405">
        <f t="shared" si="68"/>
        <v>2235000</v>
      </c>
      <c r="AB255" s="405">
        <f t="shared" si="69"/>
        <v>1341000</v>
      </c>
      <c r="AC255" s="407">
        <f t="shared" si="70"/>
        <v>20100</v>
      </c>
      <c r="AD255" s="343"/>
      <c r="AE255" s="343"/>
      <c r="AF255" s="343"/>
      <c r="AG255" s="343"/>
      <c r="AH255" s="381"/>
      <c r="AI255" s="381">
        <f t="shared" si="86"/>
        <v>1341000</v>
      </c>
      <c r="AJ255" s="381"/>
      <c r="AK255" s="381"/>
      <c r="AW255" s="217">
        <f t="shared" si="71"/>
        <v>3</v>
      </c>
      <c r="AX255" s="217">
        <f t="shared" si="72"/>
        <v>2</v>
      </c>
      <c r="AY255" s="217">
        <f t="shared" si="73"/>
        <v>0</v>
      </c>
      <c r="AZ255" s="217">
        <f t="shared" si="74"/>
        <v>3</v>
      </c>
      <c r="BA255" s="217">
        <f t="shared" si="75"/>
        <v>0</v>
      </c>
      <c r="BB255" s="217">
        <f t="shared" si="76"/>
        <v>3</v>
      </c>
      <c r="BC255" s="217">
        <f t="shared" si="77"/>
        <v>35</v>
      </c>
      <c r="BD255" s="217"/>
      <c r="BE255" s="217">
        <f t="shared" si="78"/>
        <v>5</v>
      </c>
      <c r="BF255" s="217">
        <f t="shared" si="79"/>
        <v>5</v>
      </c>
      <c r="BG255" s="217">
        <f t="shared" si="80"/>
        <v>0</v>
      </c>
      <c r="BH255" s="217">
        <f t="shared" si="81"/>
        <v>5</v>
      </c>
      <c r="BI255" s="217">
        <f t="shared" si="82"/>
        <v>0</v>
      </c>
      <c r="BJ255" s="217">
        <f t="shared" si="83"/>
        <v>5</v>
      </c>
      <c r="BK255" s="217">
        <f t="shared" si="84"/>
        <v>65</v>
      </c>
    </row>
    <row r="256" spans="2:131" s="372" customFormat="1" ht="30" customHeight="1" x14ac:dyDescent="0.35">
      <c r="B256" s="373" t="s">
        <v>1157</v>
      </c>
      <c r="C256" s="374" t="s">
        <v>1158</v>
      </c>
      <c r="D256" s="375" t="s">
        <v>964</v>
      </c>
      <c r="E256" s="375" t="s">
        <v>964</v>
      </c>
      <c r="F256" s="383">
        <f>7+0/60+39/3600</f>
        <v>7.0108333333333333</v>
      </c>
      <c r="G256" s="383">
        <f>134+13/60+46/3600</f>
        <v>134.22944444444445</v>
      </c>
      <c r="H256" s="383">
        <f>6+59/60+59/3600</f>
        <v>6.9997222222222222</v>
      </c>
      <c r="I256" s="383">
        <f>134+14/60+2/3600</f>
        <v>134.23388888888888</v>
      </c>
      <c r="J256" s="375" t="s">
        <v>97</v>
      </c>
      <c r="K256" s="377" t="s">
        <v>421</v>
      </c>
      <c r="L256" s="375" t="s">
        <v>311</v>
      </c>
      <c r="M256" s="378">
        <v>1435</v>
      </c>
      <c r="N256" s="379">
        <v>5.5</v>
      </c>
      <c r="O256" s="375">
        <v>2</v>
      </c>
      <c r="P256" s="375" t="s">
        <v>83</v>
      </c>
      <c r="Q256" s="375" t="s">
        <v>1156</v>
      </c>
      <c r="R256" s="375" t="s">
        <v>92</v>
      </c>
      <c r="S256" s="380" t="s">
        <v>92</v>
      </c>
      <c r="T256" s="154">
        <v>2</v>
      </c>
      <c r="U256" s="154">
        <v>2</v>
      </c>
      <c r="V256" s="154" t="s">
        <v>311</v>
      </c>
      <c r="W256" s="154">
        <v>3</v>
      </c>
      <c r="X256" s="154" t="s">
        <v>311</v>
      </c>
      <c r="Y256" s="154">
        <v>3</v>
      </c>
      <c r="Z256" s="154">
        <f t="shared" si="85"/>
        <v>48</v>
      </c>
      <c r="AA256" s="405">
        <f t="shared" si="68"/>
        <v>717500</v>
      </c>
      <c r="AB256" s="405">
        <f t="shared" si="69"/>
        <v>430500</v>
      </c>
      <c r="AC256" s="407">
        <f t="shared" si="70"/>
        <v>6500</v>
      </c>
      <c r="AD256" s="343"/>
      <c r="AE256" s="343"/>
      <c r="AF256" s="343"/>
      <c r="AG256" s="343"/>
      <c r="AH256" s="381">
        <f t="shared" si="88"/>
        <v>287000</v>
      </c>
      <c r="AI256" s="381">
        <f t="shared" si="86"/>
        <v>430500</v>
      </c>
      <c r="AJ256" s="381"/>
      <c r="AK256" s="381"/>
      <c r="AW256" s="217">
        <f t="shared" si="71"/>
        <v>2</v>
      </c>
      <c r="AX256" s="217">
        <f t="shared" si="72"/>
        <v>2</v>
      </c>
      <c r="AY256" s="217">
        <f t="shared" si="73"/>
        <v>0</v>
      </c>
      <c r="AZ256" s="217">
        <f t="shared" si="74"/>
        <v>3</v>
      </c>
      <c r="BA256" s="217">
        <f t="shared" si="75"/>
        <v>0</v>
      </c>
      <c r="BB256" s="217">
        <f t="shared" si="76"/>
        <v>3</v>
      </c>
      <c r="BC256" s="217">
        <f t="shared" si="77"/>
        <v>31</v>
      </c>
      <c r="BD256" s="217"/>
      <c r="BE256" s="217">
        <f t="shared" si="78"/>
        <v>5</v>
      </c>
      <c r="BF256" s="217">
        <f t="shared" si="79"/>
        <v>5</v>
      </c>
      <c r="BG256" s="217">
        <f t="shared" si="80"/>
        <v>0</v>
      </c>
      <c r="BH256" s="217">
        <f t="shared" si="81"/>
        <v>5</v>
      </c>
      <c r="BI256" s="217">
        <f t="shared" si="82"/>
        <v>0</v>
      </c>
      <c r="BJ256" s="217">
        <f t="shared" si="83"/>
        <v>5</v>
      </c>
      <c r="BK256" s="217">
        <f t="shared" si="84"/>
        <v>65</v>
      </c>
    </row>
    <row r="257" spans="2:63" s="372" customFormat="1" ht="30" customHeight="1" x14ac:dyDescent="0.35">
      <c r="B257" s="373" t="s">
        <v>1250</v>
      </c>
      <c r="C257" s="374" t="s">
        <v>1251</v>
      </c>
      <c r="D257" s="375" t="s">
        <v>964</v>
      </c>
      <c r="E257" s="375" t="s">
        <v>964</v>
      </c>
      <c r="F257" s="383">
        <f>7+0/60+23/3600</f>
        <v>7.006388888888889</v>
      </c>
      <c r="G257" s="383">
        <f>134+13/60+32/3600</f>
        <v>134.22555555555556</v>
      </c>
      <c r="H257" s="383">
        <f>7+0/60+18/3600</f>
        <v>7.0049999999999999</v>
      </c>
      <c r="I257" s="383">
        <f>134+13/60+53/3600</f>
        <v>134.23138888888889</v>
      </c>
      <c r="J257" s="375" t="s">
        <v>97</v>
      </c>
      <c r="K257" s="377" t="s">
        <v>421</v>
      </c>
      <c r="L257" s="375" t="s">
        <v>311</v>
      </c>
      <c r="M257" s="378">
        <v>680</v>
      </c>
      <c r="N257" s="379">
        <v>5.5</v>
      </c>
      <c r="O257" s="375">
        <v>2</v>
      </c>
      <c r="P257" s="375" t="s">
        <v>83</v>
      </c>
      <c r="Q257" s="375" t="s">
        <v>1156</v>
      </c>
      <c r="R257" s="375" t="s">
        <v>92</v>
      </c>
      <c r="S257" s="380" t="s">
        <v>92</v>
      </c>
      <c r="T257" s="154">
        <v>3</v>
      </c>
      <c r="U257" s="154">
        <v>2</v>
      </c>
      <c r="V257" s="154" t="s">
        <v>311</v>
      </c>
      <c r="W257" s="154">
        <v>3</v>
      </c>
      <c r="X257" s="154" t="s">
        <v>311</v>
      </c>
      <c r="Y257" s="154">
        <v>3</v>
      </c>
      <c r="Z257" s="154">
        <f t="shared" si="85"/>
        <v>54</v>
      </c>
      <c r="AA257" s="405">
        <f t="shared" si="68"/>
        <v>340000</v>
      </c>
      <c r="AB257" s="405">
        <f t="shared" si="69"/>
        <v>204000</v>
      </c>
      <c r="AC257" s="407">
        <f t="shared" si="70"/>
        <v>3100</v>
      </c>
      <c r="AD257" s="343"/>
      <c r="AE257" s="343"/>
      <c r="AF257" s="343"/>
      <c r="AG257" s="343"/>
      <c r="AH257" s="381"/>
      <c r="AI257" s="381">
        <f t="shared" si="86"/>
        <v>204000</v>
      </c>
      <c r="AJ257" s="381"/>
      <c r="AK257" s="381"/>
      <c r="AW257" s="217">
        <f t="shared" si="71"/>
        <v>3</v>
      </c>
      <c r="AX257" s="217">
        <f t="shared" si="72"/>
        <v>2</v>
      </c>
      <c r="AY257" s="217">
        <f t="shared" si="73"/>
        <v>0</v>
      </c>
      <c r="AZ257" s="217">
        <f t="shared" si="74"/>
        <v>3</v>
      </c>
      <c r="BA257" s="217">
        <f t="shared" si="75"/>
        <v>0</v>
      </c>
      <c r="BB257" s="217">
        <f t="shared" si="76"/>
        <v>3</v>
      </c>
      <c r="BC257" s="217">
        <f t="shared" si="77"/>
        <v>35</v>
      </c>
      <c r="BD257" s="217"/>
      <c r="BE257" s="217">
        <f t="shared" si="78"/>
        <v>5</v>
      </c>
      <c r="BF257" s="217">
        <f t="shared" si="79"/>
        <v>5</v>
      </c>
      <c r="BG257" s="217">
        <f t="shared" si="80"/>
        <v>0</v>
      </c>
      <c r="BH257" s="217">
        <f t="shared" si="81"/>
        <v>5</v>
      </c>
      <c r="BI257" s="217">
        <f t="shared" si="82"/>
        <v>0</v>
      </c>
      <c r="BJ257" s="217">
        <f t="shared" si="83"/>
        <v>5</v>
      </c>
      <c r="BK257" s="217">
        <f t="shared" si="84"/>
        <v>65</v>
      </c>
    </row>
    <row r="258" spans="2:63" s="372" customFormat="1" ht="30" customHeight="1" x14ac:dyDescent="0.35">
      <c r="B258" s="373" t="s">
        <v>1159</v>
      </c>
      <c r="C258" s="374" t="s">
        <v>1160</v>
      </c>
      <c r="D258" s="375" t="s">
        <v>964</v>
      </c>
      <c r="E258" s="375" t="s">
        <v>964</v>
      </c>
      <c r="F258" s="383">
        <f>7+0/60+14/3600</f>
        <v>7.0038888888888886</v>
      </c>
      <c r="G258" s="383">
        <f>134+14/60+38/3600</f>
        <v>134.24388888888888</v>
      </c>
      <c r="H258" s="383">
        <f>7+0/60+38/3600</f>
        <v>7.0105555555555554</v>
      </c>
      <c r="I258" s="383">
        <f>134+14/60+10/3600</f>
        <v>134.23611111111109</v>
      </c>
      <c r="J258" s="375" t="s">
        <v>97</v>
      </c>
      <c r="K258" s="377" t="s">
        <v>421</v>
      </c>
      <c r="L258" s="375" t="s">
        <v>311</v>
      </c>
      <c r="M258" s="378">
        <v>1055</v>
      </c>
      <c r="N258" s="379">
        <v>5</v>
      </c>
      <c r="O258" s="375">
        <v>2</v>
      </c>
      <c r="P258" s="375" t="s">
        <v>83</v>
      </c>
      <c r="Q258" s="375" t="s">
        <v>1156</v>
      </c>
      <c r="R258" s="375" t="s">
        <v>92</v>
      </c>
      <c r="S258" s="380" t="s">
        <v>92</v>
      </c>
      <c r="T258" s="154">
        <v>2</v>
      </c>
      <c r="U258" s="154">
        <v>2</v>
      </c>
      <c r="V258" s="154" t="s">
        <v>311</v>
      </c>
      <c r="W258" s="154">
        <v>3</v>
      </c>
      <c r="X258" s="154" t="s">
        <v>311</v>
      </c>
      <c r="Y258" s="154">
        <v>3</v>
      </c>
      <c r="Z258" s="154">
        <f t="shared" si="85"/>
        <v>48</v>
      </c>
      <c r="AA258" s="405">
        <f t="shared" si="68"/>
        <v>527500</v>
      </c>
      <c r="AB258" s="405">
        <f t="shared" si="69"/>
        <v>316500</v>
      </c>
      <c r="AC258" s="407">
        <f t="shared" si="70"/>
        <v>4700</v>
      </c>
      <c r="AD258" s="343"/>
      <c r="AE258" s="343"/>
      <c r="AF258" s="343"/>
      <c r="AG258" s="343"/>
      <c r="AH258" s="381">
        <f t="shared" si="88"/>
        <v>211000</v>
      </c>
      <c r="AI258" s="381">
        <f t="shared" si="86"/>
        <v>316500</v>
      </c>
      <c r="AJ258" s="381"/>
      <c r="AK258" s="381"/>
      <c r="AW258" s="217">
        <f t="shared" si="71"/>
        <v>2</v>
      </c>
      <c r="AX258" s="217">
        <f t="shared" si="72"/>
        <v>2</v>
      </c>
      <c r="AY258" s="217">
        <f t="shared" si="73"/>
        <v>0</v>
      </c>
      <c r="AZ258" s="217">
        <f t="shared" si="74"/>
        <v>3</v>
      </c>
      <c r="BA258" s="217">
        <f t="shared" si="75"/>
        <v>0</v>
      </c>
      <c r="BB258" s="217">
        <f t="shared" si="76"/>
        <v>3</v>
      </c>
      <c r="BC258" s="217">
        <f t="shared" si="77"/>
        <v>31</v>
      </c>
      <c r="BD258" s="217"/>
      <c r="BE258" s="217">
        <f t="shared" si="78"/>
        <v>5</v>
      </c>
      <c r="BF258" s="217">
        <f t="shared" si="79"/>
        <v>5</v>
      </c>
      <c r="BG258" s="217">
        <f t="shared" si="80"/>
        <v>0</v>
      </c>
      <c r="BH258" s="217">
        <f t="shared" si="81"/>
        <v>5</v>
      </c>
      <c r="BI258" s="217">
        <f t="shared" si="82"/>
        <v>0</v>
      </c>
      <c r="BJ258" s="217">
        <f t="shared" si="83"/>
        <v>5</v>
      </c>
      <c r="BK258" s="217">
        <f t="shared" si="84"/>
        <v>65</v>
      </c>
    </row>
    <row r="259" spans="2:63" s="372" customFormat="1" ht="30" customHeight="1" x14ac:dyDescent="0.35">
      <c r="B259" s="373" t="s">
        <v>1161</v>
      </c>
      <c r="C259" s="374" t="s">
        <v>1162</v>
      </c>
      <c r="D259" s="375" t="s">
        <v>964</v>
      </c>
      <c r="E259" s="375" t="s">
        <v>1155</v>
      </c>
      <c r="F259" s="383">
        <f>7+0/60+24/3600</f>
        <v>7.0066666666666668</v>
      </c>
      <c r="G259" s="383">
        <f>134+14/60+16/3600</f>
        <v>134.23777777777775</v>
      </c>
      <c r="H259" s="383">
        <f>6+59/60+25/3600</f>
        <v>6.990277777777778</v>
      </c>
      <c r="I259" s="383">
        <f>134+13/60+37/3600</f>
        <v>134.22694444444446</v>
      </c>
      <c r="J259" s="375" t="s">
        <v>97</v>
      </c>
      <c r="K259" s="377" t="s">
        <v>421</v>
      </c>
      <c r="L259" s="375" t="s">
        <v>311</v>
      </c>
      <c r="M259" s="378">
        <v>2825</v>
      </c>
      <c r="N259" s="379">
        <v>5</v>
      </c>
      <c r="O259" s="375">
        <v>2</v>
      </c>
      <c r="P259" s="375" t="s">
        <v>83</v>
      </c>
      <c r="Q259" s="375" t="s">
        <v>1156</v>
      </c>
      <c r="R259" s="375" t="s">
        <v>92</v>
      </c>
      <c r="S259" s="380" t="s">
        <v>92</v>
      </c>
      <c r="T259" s="154">
        <v>2</v>
      </c>
      <c r="U259" s="154">
        <v>2</v>
      </c>
      <c r="V259" s="154" t="s">
        <v>311</v>
      </c>
      <c r="W259" s="154">
        <v>3</v>
      </c>
      <c r="X259" s="154" t="s">
        <v>311</v>
      </c>
      <c r="Y259" s="154">
        <v>3</v>
      </c>
      <c r="Z259" s="154">
        <f t="shared" si="85"/>
        <v>48</v>
      </c>
      <c r="AA259" s="405">
        <f t="shared" si="68"/>
        <v>1412500</v>
      </c>
      <c r="AB259" s="405">
        <f t="shared" si="69"/>
        <v>847500</v>
      </c>
      <c r="AC259" s="407">
        <f t="shared" si="70"/>
        <v>12700</v>
      </c>
      <c r="AD259" s="343"/>
      <c r="AE259" s="343"/>
      <c r="AF259" s="343"/>
      <c r="AG259" s="343"/>
      <c r="AH259" s="381">
        <f t="shared" si="88"/>
        <v>565000</v>
      </c>
      <c r="AI259" s="381">
        <f t="shared" si="86"/>
        <v>847500</v>
      </c>
      <c r="AJ259" s="381"/>
      <c r="AK259" s="381"/>
      <c r="AW259" s="217">
        <f t="shared" si="71"/>
        <v>2</v>
      </c>
      <c r="AX259" s="217">
        <f t="shared" si="72"/>
        <v>2</v>
      </c>
      <c r="AY259" s="217">
        <f t="shared" si="73"/>
        <v>0</v>
      </c>
      <c r="AZ259" s="217">
        <f t="shared" si="74"/>
        <v>3</v>
      </c>
      <c r="BA259" s="217">
        <f t="shared" si="75"/>
        <v>0</v>
      </c>
      <c r="BB259" s="217">
        <f t="shared" si="76"/>
        <v>3</v>
      </c>
      <c r="BC259" s="217">
        <f t="shared" si="77"/>
        <v>31</v>
      </c>
      <c r="BD259" s="217"/>
      <c r="BE259" s="217">
        <f t="shared" si="78"/>
        <v>5</v>
      </c>
      <c r="BF259" s="217">
        <f t="shared" si="79"/>
        <v>5</v>
      </c>
      <c r="BG259" s="217">
        <f t="shared" si="80"/>
        <v>0</v>
      </c>
      <c r="BH259" s="217">
        <f t="shared" si="81"/>
        <v>5</v>
      </c>
      <c r="BI259" s="217">
        <f t="shared" si="82"/>
        <v>0</v>
      </c>
      <c r="BJ259" s="217">
        <f t="shared" si="83"/>
        <v>5</v>
      </c>
      <c r="BK259" s="217">
        <f t="shared" si="84"/>
        <v>65</v>
      </c>
    </row>
    <row r="260" spans="2:63" s="372" customFormat="1" ht="30" customHeight="1" x14ac:dyDescent="0.35">
      <c r="B260" s="373" t="s">
        <v>1163</v>
      </c>
      <c r="C260" s="395" t="s">
        <v>1164</v>
      </c>
      <c r="D260" s="375" t="s">
        <v>964</v>
      </c>
      <c r="E260" s="375" t="s">
        <v>964</v>
      </c>
      <c r="F260" s="383">
        <f>7+0/60+5/3600</f>
        <v>7.0013888888888891</v>
      </c>
      <c r="G260" s="383">
        <f>134+14/60+23/3600</f>
        <v>134.23972222222221</v>
      </c>
      <c r="H260" s="383">
        <f>6+59/60+53/3600</f>
        <v>6.9980555555555553</v>
      </c>
      <c r="I260" s="383">
        <f>134+15/60+13/3600</f>
        <v>134.2536111111111</v>
      </c>
      <c r="J260" s="375" t="s">
        <v>97</v>
      </c>
      <c r="K260" s="377" t="s">
        <v>421</v>
      </c>
      <c r="L260" s="375" t="s">
        <v>311</v>
      </c>
      <c r="M260" s="378">
        <v>1705</v>
      </c>
      <c r="N260" s="379">
        <v>5</v>
      </c>
      <c r="O260" s="375">
        <v>2</v>
      </c>
      <c r="P260" s="375" t="s">
        <v>83</v>
      </c>
      <c r="Q260" s="375" t="s">
        <v>1156</v>
      </c>
      <c r="R260" s="375" t="s">
        <v>92</v>
      </c>
      <c r="S260" s="380" t="s">
        <v>92</v>
      </c>
      <c r="T260" s="154">
        <v>2</v>
      </c>
      <c r="U260" s="154">
        <v>2</v>
      </c>
      <c r="V260" s="154" t="s">
        <v>311</v>
      </c>
      <c r="W260" s="154">
        <v>3</v>
      </c>
      <c r="X260" s="154" t="s">
        <v>311</v>
      </c>
      <c r="Y260" s="154">
        <v>2</v>
      </c>
      <c r="Z260" s="154">
        <f t="shared" si="85"/>
        <v>42</v>
      </c>
      <c r="AA260" s="405">
        <f t="shared" si="68"/>
        <v>852500</v>
      </c>
      <c r="AB260" s="405">
        <f t="shared" si="69"/>
        <v>511500</v>
      </c>
      <c r="AC260" s="407">
        <f t="shared" si="70"/>
        <v>7700</v>
      </c>
      <c r="AD260" s="343"/>
      <c r="AE260" s="343"/>
      <c r="AF260" s="343"/>
      <c r="AG260" s="343"/>
      <c r="AH260" s="381">
        <f t="shared" si="88"/>
        <v>341000</v>
      </c>
      <c r="AI260" s="381">
        <f t="shared" si="86"/>
        <v>511500</v>
      </c>
      <c r="AJ260" s="381"/>
      <c r="AK260" s="381"/>
      <c r="AW260" s="217">
        <f t="shared" si="71"/>
        <v>2</v>
      </c>
      <c r="AX260" s="217">
        <f t="shared" si="72"/>
        <v>2</v>
      </c>
      <c r="AY260" s="217">
        <f t="shared" si="73"/>
        <v>0</v>
      </c>
      <c r="AZ260" s="217">
        <f t="shared" si="74"/>
        <v>3</v>
      </c>
      <c r="BA260" s="217">
        <f t="shared" si="75"/>
        <v>0</v>
      </c>
      <c r="BB260" s="217">
        <f t="shared" si="76"/>
        <v>2</v>
      </c>
      <c r="BC260" s="217">
        <f t="shared" si="77"/>
        <v>27</v>
      </c>
      <c r="BD260" s="217"/>
      <c r="BE260" s="217">
        <f t="shared" si="78"/>
        <v>5</v>
      </c>
      <c r="BF260" s="217">
        <f t="shared" si="79"/>
        <v>5</v>
      </c>
      <c r="BG260" s="217">
        <f t="shared" si="80"/>
        <v>0</v>
      </c>
      <c r="BH260" s="217">
        <f t="shared" si="81"/>
        <v>5</v>
      </c>
      <c r="BI260" s="217">
        <f t="shared" si="82"/>
        <v>0</v>
      </c>
      <c r="BJ260" s="217">
        <f t="shared" si="83"/>
        <v>5</v>
      </c>
      <c r="BK260" s="217">
        <f t="shared" si="84"/>
        <v>65</v>
      </c>
    </row>
    <row r="261" spans="2:63" s="372" customFormat="1" ht="30" customHeight="1" x14ac:dyDescent="0.35">
      <c r="B261" s="373" t="s">
        <v>1165</v>
      </c>
      <c r="C261" s="374" t="s">
        <v>1166</v>
      </c>
      <c r="D261" s="375" t="s">
        <v>1155</v>
      </c>
      <c r="E261" s="375" t="s">
        <v>1155</v>
      </c>
      <c r="F261" s="383">
        <f>6+59/60+26/3600</f>
        <v>6.9905555555555559</v>
      </c>
      <c r="G261" s="383">
        <f>134+13/60+51/3600</f>
        <v>134.23083333333332</v>
      </c>
      <c r="H261" s="383">
        <f>6+58/60+27/3600</f>
        <v>6.9741666666666671</v>
      </c>
      <c r="I261" s="383">
        <f>134+13/60+31/3600</f>
        <v>134.22527777777779</v>
      </c>
      <c r="J261" s="375" t="s">
        <v>97</v>
      </c>
      <c r="K261" s="377" t="s">
        <v>421</v>
      </c>
      <c r="L261" s="375" t="s">
        <v>311</v>
      </c>
      <c r="M261" s="378">
        <v>2095</v>
      </c>
      <c r="N261" s="379">
        <v>5</v>
      </c>
      <c r="O261" s="375">
        <v>2</v>
      </c>
      <c r="P261" s="375" t="s">
        <v>83</v>
      </c>
      <c r="Q261" s="375" t="s">
        <v>1156</v>
      </c>
      <c r="R261" s="375" t="s">
        <v>92</v>
      </c>
      <c r="S261" s="380" t="s">
        <v>92</v>
      </c>
      <c r="T261" s="154">
        <v>2</v>
      </c>
      <c r="U261" s="154">
        <v>2</v>
      </c>
      <c r="V261" s="154" t="s">
        <v>311</v>
      </c>
      <c r="W261" s="154">
        <v>2</v>
      </c>
      <c r="X261" s="154" t="s">
        <v>311</v>
      </c>
      <c r="Y261" s="154">
        <v>2</v>
      </c>
      <c r="Z261" s="154">
        <f t="shared" si="85"/>
        <v>40</v>
      </c>
      <c r="AA261" s="405">
        <f t="shared" si="68"/>
        <v>1047500</v>
      </c>
      <c r="AB261" s="405">
        <f t="shared" si="69"/>
        <v>628500</v>
      </c>
      <c r="AC261" s="407">
        <f t="shared" si="70"/>
        <v>9400</v>
      </c>
      <c r="AD261" s="343"/>
      <c r="AE261" s="343"/>
      <c r="AF261" s="343"/>
      <c r="AG261" s="343"/>
      <c r="AH261" s="381">
        <f t="shared" si="88"/>
        <v>419000</v>
      </c>
      <c r="AI261" s="381">
        <f t="shared" si="86"/>
        <v>628500</v>
      </c>
      <c r="AJ261" s="381"/>
      <c r="AK261" s="381"/>
      <c r="AW261" s="217">
        <f t="shared" si="71"/>
        <v>2</v>
      </c>
      <c r="AX261" s="217">
        <f t="shared" si="72"/>
        <v>2</v>
      </c>
      <c r="AY261" s="217">
        <f t="shared" si="73"/>
        <v>0</v>
      </c>
      <c r="AZ261" s="217">
        <f t="shared" si="74"/>
        <v>2</v>
      </c>
      <c r="BA261" s="217">
        <f t="shared" si="75"/>
        <v>0</v>
      </c>
      <c r="BB261" s="217">
        <f t="shared" si="76"/>
        <v>2</v>
      </c>
      <c r="BC261" s="217">
        <f t="shared" si="77"/>
        <v>26</v>
      </c>
      <c r="BD261" s="217"/>
      <c r="BE261" s="217">
        <f t="shared" si="78"/>
        <v>5</v>
      </c>
      <c r="BF261" s="217">
        <f t="shared" si="79"/>
        <v>5</v>
      </c>
      <c r="BG261" s="217">
        <f t="shared" si="80"/>
        <v>0</v>
      </c>
      <c r="BH261" s="217">
        <f t="shared" si="81"/>
        <v>5</v>
      </c>
      <c r="BI261" s="217">
        <f t="shared" si="82"/>
        <v>0</v>
      </c>
      <c r="BJ261" s="217">
        <f t="shared" si="83"/>
        <v>5</v>
      </c>
      <c r="BK261" s="217">
        <f t="shared" si="84"/>
        <v>65</v>
      </c>
    </row>
    <row r="262" spans="2:63" s="396" customFormat="1" ht="30" customHeight="1" x14ac:dyDescent="0.3">
      <c r="B262" s="373"/>
      <c r="C262" s="374"/>
      <c r="D262" s="375"/>
      <c r="E262" s="375"/>
      <c r="F262" s="375"/>
      <c r="G262" s="375"/>
      <c r="H262" s="375"/>
      <c r="I262" s="375"/>
      <c r="J262" s="375"/>
      <c r="K262" s="375"/>
      <c r="L262" s="375"/>
      <c r="M262" s="378"/>
      <c r="N262" s="375"/>
      <c r="O262" s="375"/>
      <c r="P262" s="375"/>
      <c r="Q262" s="375"/>
      <c r="R262" s="375"/>
      <c r="S262" s="380"/>
      <c r="T262" s="154"/>
      <c r="U262" s="154"/>
      <c r="V262" s="154"/>
      <c r="W262" s="154"/>
      <c r="X262" s="154"/>
      <c r="Y262" s="154"/>
      <c r="Z262" s="154"/>
      <c r="AA262" s="405">
        <f t="shared" si="68"/>
        <v>0</v>
      </c>
      <c r="AB262" s="405">
        <f t="shared" si="69"/>
        <v>0</v>
      </c>
      <c r="AC262" s="407">
        <f t="shared" si="70"/>
        <v>0</v>
      </c>
      <c r="AD262" s="343"/>
      <c r="AE262" s="343"/>
      <c r="AF262" s="343"/>
      <c r="AG262" s="343"/>
      <c r="AH262" s="381"/>
      <c r="AI262" s="381"/>
      <c r="AJ262" s="381"/>
      <c r="AK262" s="381"/>
      <c r="AW262" s="217">
        <f t="shared" si="71"/>
        <v>0</v>
      </c>
      <c r="AX262" s="217">
        <f t="shared" si="72"/>
        <v>0</v>
      </c>
      <c r="AY262" s="217">
        <f t="shared" si="73"/>
        <v>0</v>
      </c>
      <c r="AZ262" s="217">
        <f t="shared" si="74"/>
        <v>0</v>
      </c>
      <c r="BA262" s="217">
        <f t="shared" si="75"/>
        <v>0</v>
      </c>
      <c r="BB262" s="217">
        <f t="shared" si="76"/>
        <v>0</v>
      </c>
      <c r="BC262" s="217">
        <f t="shared" si="77"/>
        <v>0</v>
      </c>
      <c r="BD262" s="217"/>
      <c r="BE262" s="217">
        <f t="shared" si="78"/>
        <v>0</v>
      </c>
      <c r="BF262" s="217">
        <f t="shared" si="79"/>
        <v>0</v>
      </c>
      <c r="BG262" s="217">
        <f t="shared" si="80"/>
        <v>0</v>
      </c>
      <c r="BH262" s="217">
        <f t="shared" si="81"/>
        <v>0</v>
      </c>
      <c r="BI262" s="217">
        <f t="shared" si="82"/>
        <v>0</v>
      </c>
      <c r="BJ262" s="217">
        <f t="shared" si="83"/>
        <v>0</v>
      </c>
      <c r="BK262" s="217">
        <f t="shared" si="84"/>
        <v>0</v>
      </c>
    </row>
    <row r="263" spans="2:63" s="372" customFormat="1" ht="30" customHeight="1" x14ac:dyDescent="0.35">
      <c r="B263" s="373" t="s">
        <v>1175</v>
      </c>
      <c r="C263" s="374" t="s">
        <v>1180</v>
      </c>
      <c r="D263" s="375" t="s">
        <v>1178</v>
      </c>
      <c r="E263" s="375" t="s">
        <v>1179</v>
      </c>
      <c r="F263" s="383">
        <f>6+54/60+20/3600</f>
        <v>6.9055555555555559</v>
      </c>
      <c r="G263" s="383">
        <f>134+7/60+47/3600</f>
        <v>134.12972222222223</v>
      </c>
      <c r="H263" s="383">
        <f>6+54/60+9/3600</f>
        <v>6.9025000000000007</v>
      </c>
      <c r="I263" s="383">
        <f>134+7/60+47/3600</f>
        <v>134.12972222222223</v>
      </c>
      <c r="J263" s="375" t="s">
        <v>277</v>
      </c>
      <c r="K263" s="377">
        <v>2002</v>
      </c>
      <c r="L263" s="375" t="s">
        <v>311</v>
      </c>
      <c r="M263" s="378">
        <v>505</v>
      </c>
      <c r="N263" s="379">
        <v>5.5</v>
      </c>
      <c r="O263" s="375">
        <v>2</v>
      </c>
      <c r="P263" s="375" t="s">
        <v>83</v>
      </c>
      <c r="Q263" s="375" t="s">
        <v>275</v>
      </c>
      <c r="R263" s="375" t="s">
        <v>92</v>
      </c>
      <c r="S263" s="380" t="s">
        <v>92</v>
      </c>
      <c r="T263" s="154">
        <v>4</v>
      </c>
      <c r="U263" s="154">
        <v>4</v>
      </c>
      <c r="V263" s="154" t="s">
        <v>311</v>
      </c>
      <c r="W263" s="154">
        <v>4</v>
      </c>
      <c r="X263" s="154" t="s">
        <v>311</v>
      </c>
      <c r="Y263" s="154">
        <v>5</v>
      </c>
      <c r="Z263" s="154">
        <f t="shared" si="85"/>
        <v>87</v>
      </c>
      <c r="AA263" s="405">
        <f t="shared" ref="AA263:AA271" si="89">T$2*M263+U$2*M263+V$2*AF263+X$2*AF263</f>
        <v>252500</v>
      </c>
      <c r="AB263" s="405">
        <f t="shared" ref="AB263:AB271" si="90">U$2*M263+V$2*AE263+X$2*AF263</f>
        <v>151500</v>
      </c>
      <c r="AC263" s="407">
        <f t="shared" ref="AC263:AC271" si="91">ROUND(AC$4*AB263,-2)</f>
        <v>2300</v>
      </c>
      <c r="AD263" s="343"/>
      <c r="AE263" s="343"/>
      <c r="AF263" s="343"/>
      <c r="AG263" s="343"/>
      <c r="AH263" s="381"/>
      <c r="AI263" s="381"/>
      <c r="AJ263" s="381"/>
      <c r="AK263" s="381"/>
      <c r="AW263" s="217">
        <f t="shared" ref="AW263:AW271" si="92">IF(OR(T263=1,T263=2,T263=3,T263=4,T263=5),T263,0)</f>
        <v>4</v>
      </c>
      <c r="AX263" s="217">
        <f t="shared" ref="AX263:AX271" si="93">IF(OR(U263=1,U263=2,U263=3,U263=4,U263=5),U263,0)</f>
        <v>4</v>
      </c>
      <c r="AY263" s="217">
        <f t="shared" ref="AY263:AY271" si="94">IF(OR(V263=1,V263=2,V263=3,V263=4,V263=5),V263,0)</f>
        <v>0</v>
      </c>
      <c r="AZ263" s="217">
        <f t="shared" ref="AZ263:AZ271" si="95">IF(OR(W263=1,W263=2,W263=3,W263=4,W263=5),W263,0)</f>
        <v>4</v>
      </c>
      <c r="BA263" s="217">
        <f t="shared" ref="BA263:BA271" si="96">IF(OR(X263=1,X263=2,X263=3,X263=4,X263=5),X263,0)</f>
        <v>0</v>
      </c>
      <c r="BB263" s="217">
        <f t="shared" ref="BB263:BB271" si="97">IF(OR(Y263=1,Y263=2,Y263=3,Y263=4,Y263=5),Y263,0)</f>
        <v>5</v>
      </c>
      <c r="BC263" s="217">
        <f t="shared" ref="BC263:BC271" si="98">AW$2*AW263+AX$2*AX263+AY$2*AY263+AZ$2*AZ263+BA$2*BA263+BB$2*BB263</f>
        <v>56</v>
      </c>
      <c r="BD263" s="217"/>
      <c r="BE263" s="217">
        <f t="shared" ref="BE263:BE271" si="99">IF(OR(T263=1,T263=2,T263=3,T263=4,T263=5),5,0)</f>
        <v>5</v>
      </c>
      <c r="BF263" s="217">
        <f t="shared" ref="BF263:BF271" si="100">IF(OR(U263=1,U263=2,U263=3,U263=4,U263=5),5,0)</f>
        <v>5</v>
      </c>
      <c r="BG263" s="217">
        <f t="shared" ref="BG263:BG271" si="101">IF(OR(V263=1,V263=2,V263=3,V263=4,V263=5),5,0)</f>
        <v>0</v>
      </c>
      <c r="BH263" s="217">
        <f t="shared" ref="BH263:BH271" si="102">IF(OR(W263=1,W263=2,W263=3,W263=4,W263=5),5,0)</f>
        <v>5</v>
      </c>
      <c r="BI263" s="217">
        <f t="shared" ref="BI263:BI271" si="103">IF(OR(X263=1,X263=2,X263=3,X263=4,X263=5),5,0)</f>
        <v>0</v>
      </c>
      <c r="BJ263" s="217">
        <f t="shared" ref="BJ263:BJ271" si="104">IF(OR(Y263=1,Y263=2,Y263=3,Y263=4,Y263=5),5,0)</f>
        <v>5</v>
      </c>
      <c r="BK263" s="217">
        <f t="shared" ref="BK263:BK271" si="105">BE$2*BE263+BF$2*BF263+BG$2*BG263+BH$2*BH263+BI$2*BI263+BJ$2*BJ263</f>
        <v>65</v>
      </c>
    </row>
    <row r="264" spans="2:63" s="372" customFormat="1" ht="30" customHeight="1" x14ac:dyDescent="0.35">
      <c r="B264" s="373" t="s">
        <v>1181</v>
      </c>
      <c r="C264" s="374" t="s">
        <v>1176</v>
      </c>
      <c r="D264" s="375" t="s">
        <v>1178</v>
      </c>
      <c r="E264" s="375" t="s">
        <v>1182</v>
      </c>
      <c r="F264" s="383">
        <f>6+54/60+19/3600</f>
        <v>6.9052777777777781</v>
      </c>
      <c r="G264" s="383">
        <f>134+7/60+49/3600</f>
        <v>134.13027777777779</v>
      </c>
      <c r="H264" s="383">
        <f>6+55/60+50/3600</f>
        <v>6.9305555555555562</v>
      </c>
      <c r="I264" s="383">
        <f>134+7/60+55/3600</f>
        <v>134.13194444444446</v>
      </c>
      <c r="J264" s="375" t="s">
        <v>277</v>
      </c>
      <c r="K264" s="377">
        <v>2002</v>
      </c>
      <c r="L264" s="375" t="s">
        <v>311</v>
      </c>
      <c r="M264" s="378">
        <v>1190</v>
      </c>
      <c r="N264" s="379">
        <v>5.5</v>
      </c>
      <c r="O264" s="375">
        <v>2</v>
      </c>
      <c r="P264" s="375" t="s">
        <v>83</v>
      </c>
      <c r="Q264" s="375" t="s">
        <v>275</v>
      </c>
      <c r="R264" s="375" t="s">
        <v>92</v>
      </c>
      <c r="S264" s="380" t="s">
        <v>92</v>
      </c>
      <c r="T264" s="154">
        <v>4</v>
      </c>
      <c r="U264" s="154">
        <v>4</v>
      </c>
      <c r="V264" s="154" t="s">
        <v>311</v>
      </c>
      <c r="W264" s="154">
        <v>4</v>
      </c>
      <c r="X264" s="154" t="s">
        <v>311</v>
      </c>
      <c r="Y264" s="154">
        <v>5</v>
      </c>
      <c r="Z264" s="154">
        <f t="shared" ref="Z264:Z287" si="106">ROUNDUP(BC264/BK264*100,0)</f>
        <v>87</v>
      </c>
      <c r="AA264" s="405">
        <f t="shared" si="89"/>
        <v>595000</v>
      </c>
      <c r="AB264" s="405">
        <f t="shared" si="90"/>
        <v>357000</v>
      </c>
      <c r="AC264" s="407">
        <f t="shared" si="91"/>
        <v>5400</v>
      </c>
      <c r="AD264" s="343"/>
      <c r="AE264" s="343"/>
      <c r="AF264" s="343"/>
      <c r="AG264" s="343"/>
      <c r="AH264" s="381"/>
      <c r="AI264" s="381"/>
      <c r="AJ264" s="381"/>
      <c r="AK264" s="381"/>
      <c r="AW264" s="217">
        <f t="shared" si="92"/>
        <v>4</v>
      </c>
      <c r="AX264" s="217">
        <f t="shared" si="93"/>
        <v>4</v>
      </c>
      <c r="AY264" s="217">
        <f t="shared" si="94"/>
        <v>0</v>
      </c>
      <c r="AZ264" s="217">
        <f t="shared" si="95"/>
        <v>4</v>
      </c>
      <c r="BA264" s="217">
        <f t="shared" si="96"/>
        <v>0</v>
      </c>
      <c r="BB264" s="217">
        <f t="shared" si="97"/>
        <v>5</v>
      </c>
      <c r="BC264" s="217">
        <f t="shared" si="98"/>
        <v>56</v>
      </c>
      <c r="BD264" s="217"/>
      <c r="BE264" s="217">
        <f t="shared" si="99"/>
        <v>5</v>
      </c>
      <c r="BF264" s="217">
        <f t="shared" si="100"/>
        <v>5</v>
      </c>
      <c r="BG264" s="217">
        <f t="shared" si="101"/>
        <v>0</v>
      </c>
      <c r="BH264" s="217">
        <f t="shared" si="102"/>
        <v>5</v>
      </c>
      <c r="BI264" s="217">
        <f t="shared" si="103"/>
        <v>0</v>
      </c>
      <c r="BJ264" s="217">
        <f t="shared" si="104"/>
        <v>5</v>
      </c>
      <c r="BK264" s="217">
        <f t="shared" si="105"/>
        <v>65</v>
      </c>
    </row>
    <row r="265" spans="2:63" s="372" customFormat="1" ht="30" customHeight="1" x14ac:dyDescent="0.35">
      <c r="B265" s="373" t="s">
        <v>1183</v>
      </c>
      <c r="C265" s="374" t="s">
        <v>1184</v>
      </c>
      <c r="D265" s="375" t="s">
        <v>1178</v>
      </c>
      <c r="E265" s="375" t="s">
        <v>1182</v>
      </c>
      <c r="F265" s="383">
        <f>6+54/60+15/3600</f>
        <v>6.9041666666666668</v>
      </c>
      <c r="G265" s="383">
        <f>134+7/60+49/3600</f>
        <v>134.13027777777779</v>
      </c>
      <c r="H265" s="383">
        <f>6+54/60+8/3600</f>
        <v>6.9022222222222229</v>
      </c>
      <c r="I265" s="383">
        <f>134+8/60+8/3600</f>
        <v>134.13555555555556</v>
      </c>
      <c r="J265" s="375" t="s">
        <v>97</v>
      </c>
      <c r="K265" s="377">
        <v>2006</v>
      </c>
      <c r="L265" s="375" t="s">
        <v>311</v>
      </c>
      <c r="M265" s="378">
        <v>625</v>
      </c>
      <c r="N265" s="379">
        <v>5.5</v>
      </c>
      <c r="O265" s="375">
        <v>2</v>
      </c>
      <c r="P265" s="375" t="s">
        <v>83</v>
      </c>
      <c r="Q265" s="375" t="s">
        <v>275</v>
      </c>
      <c r="R265" s="375" t="s">
        <v>92</v>
      </c>
      <c r="S265" s="380" t="s">
        <v>92</v>
      </c>
      <c r="T265" s="154">
        <v>4</v>
      </c>
      <c r="U265" s="154">
        <v>4</v>
      </c>
      <c r="V265" s="154" t="s">
        <v>311</v>
      </c>
      <c r="W265" s="154">
        <v>4</v>
      </c>
      <c r="X265" s="154" t="s">
        <v>311</v>
      </c>
      <c r="Y265" s="154">
        <v>5</v>
      </c>
      <c r="Z265" s="154">
        <f t="shared" si="106"/>
        <v>87</v>
      </c>
      <c r="AA265" s="405">
        <f t="shared" si="89"/>
        <v>312500</v>
      </c>
      <c r="AB265" s="405">
        <f t="shared" si="90"/>
        <v>187500</v>
      </c>
      <c r="AC265" s="407">
        <f t="shared" si="91"/>
        <v>2800</v>
      </c>
      <c r="AD265" s="343"/>
      <c r="AE265" s="343"/>
      <c r="AF265" s="343"/>
      <c r="AG265" s="343"/>
      <c r="AH265" s="381"/>
      <c r="AI265" s="381"/>
      <c r="AJ265" s="381"/>
      <c r="AK265" s="381"/>
      <c r="AW265" s="217">
        <f t="shared" si="92"/>
        <v>4</v>
      </c>
      <c r="AX265" s="217">
        <f t="shared" si="93"/>
        <v>4</v>
      </c>
      <c r="AY265" s="217">
        <f t="shared" si="94"/>
        <v>0</v>
      </c>
      <c r="AZ265" s="217">
        <f t="shared" si="95"/>
        <v>4</v>
      </c>
      <c r="BA265" s="217">
        <f t="shared" si="96"/>
        <v>0</v>
      </c>
      <c r="BB265" s="217">
        <f t="shared" si="97"/>
        <v>5</v>
      </c>
      <c r="BC265" s="217">
        <f t="shared" si="98"/>
        <v>56</v>
      </c>
      <c r="BD265" s="217"/>
      <c r="BE265" s="217">
        <f t="shared" si="99"/>
        <v>5</v>
      </c>
      <c r="BF265" s="217">
        <f t="shared" si="100"/>
        <v>5</v>
      </c>
      <c r="BG265" s="217">
        <f t="shared" si="101"/>
        <v>0</v>
      </c>
      <c r="BH265" s="217">
        <f t="shared" si="102"/>
        <v>5</v>
      </c>
      <c r="BI265" s="217">
        <f t="shared" si="103"/>
        <v>0</v>
      </c>
      <c r="BJ265" s="217">
        <f t="shared" si="104"/>
        <v>5</v>
      </c>
      <c r="BK265" s="217">
        <f t="shared" si="105"/>
        <v>65</v>
      </c>
    </row>
    <row r="266" spans="2:63" s="372" customFormat="1" ht="30" customHeight="1" x14ac:dyDescent="0.35">
      <c r="B266" s="373" t="s">
        <v>1185</v>
      </c>
      <c r="C266" s="374" t="s">
        <v>1186</v>
      </c>
      <c r="D266" s="375" t="s">
        <v>1179</v>
      </c>
      <c r="E266" s="375" t="s">
        <v>1182</v>
      </c>
      <c r="F266" s="383">
        <f>6+54/60+9/3600</f>
        <v>6.9025000000000007</v>
      </c>
      <c r="G266" s="383">
        <f>134+7/60+47/3600</f>
        <v>134.12972222222223</v>
      </c>
      <c r="H266" s="383">
        <f>6+54/60+3/3600</f>
        <v>6.9008333333333338</v>
      </c>
      <c r="I266" s="383">
        <f>134+8/60+5/3600</f>
        <v>134.13472222222222</v>
      </c>
      <c r="J266" s="375" t="s">
        <v>97</v>
      </c>
      <c r="K266" s="377">
        <v>2002</v>
      </c>
      <c r="L266" s="375" t="s">
        <v>311</v>
      </c>
      <c r="M266" s="378">
        <v>570</v>
      </c>
      <c r="N266" s="379">
        <v>5.5</v>
      </c>
      <c r="O266" s="375">
        <v>2</v>
      </c>
      <c r="P266" s="375" t="s">
        <v>83</v>
      </c>
      <c r="Q266" s="375" t="s">
        <v>275</v>
      </c>
      <c r="R266" s="375" t="s">
        <v>92</v>
      </c>
      <c r="S266" s="380" t="s">
        <v>92</v>
      </c>
      <c r="T266" s="154">
        <v>4</v>
      </c>
      <c r="U266" s="154">
        <v>4</v>
      </c>
      <c r="V266" s="154" t="s">
        <v>311</v>
      </c>
      <c r="W266" s="154">
        <v>4</v>
      </c>
      <c r="X266" s="154" t="s">
        <v>311</v>
      </c>
      <c r="Y266" s="154">
        <v>5</v>
      </c>
      <c r="Z266" s="154">
        <f t="shared" si="106"/>
        <v>87</v>
      </c>
      <c r="AA266" s="405">
        <f t="shared" si="89"/>
        <v>285000</v>
      </c>
      <c r="AB266" s="405">
        <f t="shared" si="90"/>
        <v>171000</v>
      </c>
      <c r="AC266" s="407">
        <f t="shared" si="91"/>
        <v>2600</v>
      </c>
      <c r="AD266" s="343"/>
      <c r="AE266" s="343"/>
      <c r="AF266" s="343"/>
      <c r="AG266" s="343"/>
      <c r="AH266" s="381"/>
      <c r="AI266" s="381"/>
      <c r="AJ266" s="381"/>
      <c r="AK266" s="381"/>
      <c r="AW266" s="217">
        <f t="shared" si="92"/>
        <v>4</v>
      </c>
      <c r="AX266" s="217">
        <f t="shared" si="93"/>
        <v>4</v>
      </c>
      <c r="AY266" s="217">
        <f t="shared" si="94"/>
        <v>0</v>
      </c>
      <c r="AZ266" s="217">
        <f t="shared" si="95"/>
        <v>4</v>
      </c>
      <c r="BA266" s="217">
        <f t="shared" si="96"/>
        <v>0</v>
      </c>
      <c r="BB266" s="217">
        <f t="shared" si="97"/>
        <v>5</v>
      </c>
      <c r="BC266" s="217">
        <f t="shared" si="98"/>
        <v>56</v>
      </c>
      <c r="BD266" s="217"/>
      <c r="BE266" s="217">
        <f t="shared" si="99"/>
        <v>5</v>
      </c>
      <c r="BF266" s="217">
        <f t="shared" si="100"/>
        <v>5</v>
      </c>
      <c r="BG266" s="217">
        <f t="shared" si="101"/>
        <v>0</v>
      </c>
      <c r="BH266" s="217">
        <f t="shared" si="102"/>
        <v>5</v>
      </c>
      <c r="BI266" s="217">
        <f t="shared" si="103"/>
        <v>0</v>
      </c>
      <c r="BJ266" s="217">
        <f t="shared" si="104"/>
        <v>5</v>
      </c>
      <c r="BK266" s="217">
        <f t="shared" si="105"/>
        <v>65</v>
      </c>
    </row>
    <row r="267" spans="2:63" s="372" customFormat="1" ht="30" customHeight="1" x14ac:dyDescent="0.35">
      <c r="B267" s="373" t="s">
        <v>1187</v>
      </c>
      <c r="C267" s="374" t="s">
        <v>1188</v>
      </c>
      <c r="D267" s="375" t="s">
        <v>1182</v>
      </c>
      <c r="E267" s="375" t="s">
        <v>1182</v>
      </c>
      <c r="F267" s="383">
        <f>6+54/60+3/3600</f>
        <v>6.9008333333333338</v>
      </c>
      <c r="G267" s="383">
        <f>134+8/60+5/3600</f>
        <v>134.13472222222222</v>
      </c>
      <c r="H267" s="383">
        <f>6+53/60+53/3600</f>
        <v>6.8980555555555547</v>
      </c>
      <c r="I267" s="383">
        <f>134+7/60+53/3600</f>
        <v>134.13138888888889</v>
      </c>
      <c r="J267" s="375" t="s">
        <v>97</v>
      </c>
      <c r="K267" s="377">
        <v>2002</v>
      </c>
      <c r="L267" s="375" t="s">
        <v>311</v>
      </c>
      <c r="M267" s="378">
        <v>480</v>
      </c>
      <c r="N267" s="379">
        <v>5.5</v>
      </c>
      <c r="O267" s="375">
        <v>2</v>
      </c>
      <c r="P267" s="375" t="s">
        <v>83</v>
      </c>
      <c r="Q267" s="375" t="s">
        <v>275</v>
      </c>
      <c r="R267" s="375" t="s">
        <v>92</v>
      </c>
      <c r="S267" s="380" t="s">
        <v>92</v>
      </c>
      <c r="T267" s="154">
        <v>4</v>
      </c>
      <c r="U267" s="154">
        <v>4</v>
      </c>
      <c r="V267" s="154" t="s">
        <v>311</v>
      </c>
      <c r="W267" s="154">
        <v>4</v>
      </c>
      <c r="X267" s="154" t="s">
        <v>311</v>
      </c>
      <c r="Y267" s="154">
        <v>5</v>
      </c>
      <c r="Z267" s="154">
        <f t="shared" si="106"/>
        <v>87</v>
      </c>
      <c r="AA267" s="405">
        <f t="shared" si="89"/>
        <v>240000</v>
      </c>
      <c r="AB267" s="405">
        <f t="shared" si="90"/>
        <v>144000</v>
      </c>
      <c r="AC267" s="407">
        <f t="shared" si="91"/>
        <v>2200</v>
      </c>
      <c r="AD267" s="343"/>
      <c r="AE267" s="343"/>
      <c r="AF267" s="343"/>
      <c r="AG267" s="343"/>
      <c r="AH267" s="381"/>
      <c r="AI267" s="381"/>
      <c r="AJ267" s="381"/>
      <c r="AK267" s="381"/>
      <c r="AW267" s="217">
        <f t="shared" si="92"/>
        <v>4</v>
      </c>
      <c r="AX267" s="217">
        <f t="shared" si="93"/>
        <v>4</v>
      </c>
      <c r="AY267" s="217">
        <f t="shared" si="94"/>
        <v>0</v>
      </c>
      <c r="AZ267" s="217">
        <f t="shared" si="95"/>
        <v>4</v>
      </c>
      <c r="BA267" s="217">
        <f t="shared" si="96"/>
        <v>0</v>
      </c>
      <c r="BB267" s="217">
        <f t="shared" si="97"/>
        <v>5</v>
      </c>
      <c r="BC267" s="217">
        <f t="shared" si="98"/>
        <v>56</v>
      </c>
      <c r="BD267" s="217"/>
      <c r="BE267" s="217">
        <f t="shared" si="99"/>
        <v>5</v>
      </c>
      <c r="BF267" s="217">
        <f t="shared" si="100"/>
        <v>5</v>
      </c>
      <c r="BG267" s="217">
        <f t="shared" si="101"/>
        <v>0</v>
      </c>
      <c r="BH267" s="217">
        <f t="shared" si="102"/>
        <v>5</v>
      </c>
      <c r="BI267" s="217">
        <f t="shared" si="103"/>
        <v>0</v>
      </c>
      <c r="BJ267" s="217">
        <f t="shared" si="104"/>
        <v>5</v>
      </c>
      <c r="BK267" s="217">
        <f t="shared" si="105"/>
        <v>65</v>
      </c>
    </row>
    <row r="268" spans="2:63" s="372" customFormat="1" ht="30" customHeight="1" x14ac:dyDescent="0.35">
      <c r="B268" s="373" t="s">
        <v>1189</v>
      </c>
      <c r="C268" s="374" t="s">
        <v>1190</v>
      </c>
      <c r="D268" s="375" t="s">
        <v>1182</v>
      </c>
      <c r="E268" s="375" t="s">
        <v>1182</v>
      </c>
      <c r="F268" s="383">
        <f>6+54/60+3/3600</f>
        <v>6.9008333333333338</v>
      </c>
      <c r="G268" s="383">
        <f>134+8/60+5/3600</f>
        <v>134.13472222222222</v>
      </c>
      <c r="H268" s="383">
        <f>6+54/60+2/3600</f>
        <v>6.900555555555556</v>
      </c>
      <c r="I268" s="383">
        <f>134+8/60+7/3600</f>
        <v>134.13527777777776</v>
      </c>
      <c r="J268" s="375" t="s">
        <v>97</v>
      </c>
      <c r="K268" s="377">
        <v>2006</v>
      </c>
      <c r="L268" s="375" t="s">
        <v>311</v>
      </c>
      <c r="M268" s="378">
        <v>420</v>
      </c>
      <c r="N268" s="379">
        <v>5.5</v>
      </c>
      <c r="O268" s="375">
        <v>2</v>
      </c>
      <c r="P268" s="375" t="s">
        <v>83</v>
      </c>
      <c r="Q268" s="375" t="s">
        <v>275</v>
      </c>
      <c r="R268" s="375" t="s">
        <v>92</v>
      </c>
      <c r="S268" s="380" t="s">
        <v>92</v>
      </c>
      <c r="T268" s="154">
        <v>4</v>
      </c>
      <c r="U268" s="154">
        <v>4</v>
      </c>
      <c r="V268" s="154" t="s">
        <v>311</v>
      </c>
      <c r="W268" s="154">
        <v>4</v>
      </c>
      <c r="X268" s="154" t="s">
        <v>311</v>
      </c>
      <c r="Y268" s="154">
        <v>5</v>
      </c>
      <c r="Z268" s="154">
        <f t="shared" si="106"/>
        <v>87</v>
      </c>
      <c r="AA268" s="405">
        <f t="shared" si="89"/>
        <v>210000</v>
      </c>
      <c r="AB268" s="405">
        <f t="shared" si="90"/>
        <v>126000</v>
      </c>
      <c r="AC268" s="407">
        <f t="shared" si="91"/>
        <v>1900</v>
      </c>
      <c r="AD268" s="343"/>
      <c r="AE268" s="343"/>
      <c r="AF268" s="343"/>
      <c r="AG268" s="343"/>
      <c r="AH268" s="381"/>
      <c r="AI268" s="381"/>
      <c r="AJ268" s="381"/>
      <c r="AK268" s="381"/>
      <c r="AW268" s="217">
        <f t="shared" si="92"/>
        <v>4</v>
      </c>
      <c r="AX268" s="217">
        <f t="shared" si="93"/>
        <v>4</v>
      </c>
      <c r="AY268" s="217">
        <f t="shared" si="94"/>
        <v>0</v>
      </c>
      <c r="AZ268" s="217">
        <f t="shared" si="95"/>
        <v>4</v>
      </c>
      <c r="BA268" s="217">
        <f t="shared" si="96"/>
        <v>0</v>
      </c>
      <c r="BB268" s="217">
        <f t="shared" si="97"/>
        <v>5</v>
      </c>
      <c r="BC268" s="217">
        <f t="shared" si="98"/>
        <v>56</v>
      </c>
      <c r="BD268" s="217"/>
      <c r="BE268" s="217">
        <f t="shared" si="99"/>
        <v>5</v>
      </c>
      <c r="BF268" s="217">
        <f t="shared" si="100"/>
        <v>5</v>
      </c>
      <c r="BG268" s="217">
        <f t="shared" si="101"/>
        <v>0</v>
      </c>
      <c r="BH268" s="217">
        <f t="shared" si="102"/>
        <v>5</v>
      </c>
      <c r="BI268" s="217">
        <f t="shared" si="103"/>
        <v>0</v>
      </c>
      <c r="BJ268" s="217">
        <f t="shared" si="104"/>
        <v>5</v>
      </c>
      <c r="BK268" s="217">
        <f t="shared" si="105"/>
        <v>65</v>
      </c>
    </row>
    <row r="269" spans="2:63" s="372" customFormat="1" ht="30" customHeight="1" x14ac:dyDescent="0.35">
      <c r="B269" s="373" t="s">
        <v>1191</v>
      </c>
      <c r="C269" s="374" t="s">
        <v>1192</v>
      </c>
      <c r="D269" s="375" t="s">
        <v>1178</v>
      </c>
      <c r="E269" s="375" t="s">
        <v>1178</v>
      </c>
      <c r="F269" s="383">
        <f>6+54/60+21/3600</f>
        <v>6.9058333333333337</v>
      </c>
      <c r="G269" s="383">
        <f>134+7/60+48/3600</f>
        <v>134.13</v>
      </c>
      <c r="H269" s="383">
        <f>6+55/60+21/3600</f>
        <v>6.9225000000000003</v>
      </c>
      <c r="I269" s="383">
        <f>134+8/60+47/3600</f>
        <v>134.14638888888888</v>
      </c>
      <c r="J269" s="375" t="s">
        <v>277</v>
      </c>
      <c r="K269" s="377" t="s">
        <v>421</v>
      </c>
      <c r="L269" s="375" t="s">
        <v>311</v>
      </c>
      <c r="M269" s="378">
        <v>2505</v>
      </c>
      <c r="N269" s="379">
        <v>5</v>
      </c>
      <c r="O269" s="375">
        <v>2</v>
      </c>
      <c r="P269" s="375" t="s">
        <v>83</v>
      </c>
      <c r="Q269" s="375" t="s">
        <v>1156</v>
      </c>
      <c r="R269" s="375" t="s">
        <v>92</v>
      </c>
      <c r="S269" s="380" t="s">
        <v>92</v>
      </c>
      <c r="T269" s="154">
        <v>2</v>
      </c>
      <c r="U269" s="154">
        <v>2</v>
      </c>
      <c r="V269" s="154" t="s">
        <v>311</v>
      </c>
      <c r="W269" s="154">
        <v>3</v>
      </c>
      <c r="X269" s="154" t="s">
        <v>311</v>
      </c>
      <c r="Y269" s="154">
        <v>3</v>
      </c>
      <c r="Z269" s="154">
        <f t="shared" si="106"/>
        <v>48</v>
      </c>
      <c r="AA269" s="405">
        <f t="shared" si="89"/>
        <v>1252500</v>
      </c>
      <c r="AB269" s="405">
        <f t="shared" si="90"/>
        <v>751500</v>
      </c>
      <c r="AC269" s="407">
        <f t="shared" si="91"/>
        <v>11300</v>
      </c>
      <c r="AD269" s="343"/>
      <c r="AE269" s="343"/>
      <c r="AF269" s="343"/>
      <c r="AG269" s="343"/>
      <c r="AH269" s="381">
        <f t="shared" si="88"/>
        <v>501000</v>
      </c>
      <c r="AI269" s="381">
        <f t="shared" si="86"/>
        <v>751500</v>
      </c>
      <c r="AJ269" s="381"/>
      <c r="AK269" s="381"/>
      <c r="AW269" s="217">
        <f t="shared" si="92"/>
        <v>2</v>
      </c>
      <c r="AX269" s="217">
        <f t="shared" si="93"/>
        <v>2</v>
      </c>
      <c r="AY269" s="217">
        <f t="shared" si="94"/>
        <v>0</v>
      </c>
      <c r="AZ269" s="217">
        <f t="shared" si="95"/>
        <v>3</v>
      </c>
      <c r="BA269" s="217">
        <f t="shared" si="96"/>
        <v>0</v>
      </c>
      <c r="BB269" s="217">
        <f t="shared" si="97"/>
        <v>3</v>
      </c>
      <c r="BC269" s="217">
        <f t="shared" si="98"/>
        <v>31</v>
      </c>
      <c r="BD269" s="217"/>
      <c r="BE269" s="217">
        <f t="shared" si="99"/>
        <v>5</v>
      </c>
      <c r="BF269" s="217">
        <f t="shared" si="100"/>
        <v>5</v>
      </c>
      <c r="BG269" s="217">
        <f t="shared" si="101"/>
        <v>0</v>
      </c>
      <c r="BH269" s="217">
        <f t="shared" si="102"/>
        <v>5</v>
      </c>
      <c r="BI269" s="217">
        <f t="shared" si="103"/>
        <v>0</v>
      </c>
      <c r="BJ269" s="217">
        <f t="shared" si="104"/>
        <v>5</v>
      </c>
      <c r="BK269" s="217">
        <f t="shared" si="105"/>
        <v>65</v>
      </c>
    </row>
    <row r="270" spans="2:63" s="372" customFormat="1" ht="30" customHeight="1" x14ac:dyDescent="0.35">
      <c r="B270" s="373" t="s">
        <v>1193</v>
      </c>
      <c r="C270" s="395" t="s">
        <v>1194</v>
      </c>
      <c r="D270" s="375" t="s">
        <v>1182</v>
      </c>
      <c r="E270" s="375" t="s">
        <v>1178</v>
      </c>
      <c r="F270" s="383">
        <f>6+54/60+3/3600</f>
        <v>6.9008333333333338</v>
      </c>
      <c r="G270" s="383">
        <f>134+8/60+5/3600</f>
        <v>134.13472222222222</v>
      </c>
      <c r="H270" s="383">
        <f>6+54/60+25/3600</f>
        <v>6.906944444444445</v>
      </c>
      <c r="I270" s="383">
        <f>134+8/60+11/3600</f>
        <v>134.13638888888889</v>
      </c>
      <c r="J270" s="375" t="s">
        <v>97</v>
      </c>
      <c r="K270" s="377" t="s">
        <v>421</v>
      </c>
      <c r="L270" s="375" t="s">
        <v>311</v>
      </c>
      <c r="M270" s="378">
        <v>685</v>
      </c>
      <c r="N270" s="379">
        <v>5</v>
      </c>
      <c r="O270" s="375">
        <v>2</v>
      </c>
      <c r="P270" s="375" t="s">
        <v>83</v>
      </c>
      <c r="Q270" s="375" t="s">
        <v>1156</v>
      </c>
      <c r="R270" s="375" t="s">
        <v>92</v>
      </c>
      <c r="S270" s="380" t="s">
        <v>92</v>
      </c>
      <c r="T270" s="154">
        <v>2</v>
      </c>
      <c r="U270" s="154">
        <v>2</v>
      </c>
      <c r="V270" s="154" t="s">
        <v>311</v>
      </c>
      <c r="W270" s="154">
        <v>3</v>
      </c>
      <c r="X270" s="154" t="s">
        <v>311</v>
      </c>
      <c r="Y270" s="154">
        <v>3</v>
      </c>
      <c r="Z270" s="154">
        <f t="shared" si="106"/>
        <v>48</v>
      </c>
      <c r="AA270" s="405">
        <f t="shared" si="89"/>
        <v>342500</v>
      </c>
      <c r="AB270" s="405">
        <f t="shared" si="90"/>
        <v>205500</v>
      </c>
      <c r="AC270" s="407">
        <f t="shared" si="91"/>
        <v>3100</v>
      </c>
      <c r="AD270" s="343"/>
      <c r="AE270" s="343"/>
      <c r="AF270" s="343"/>
      <c r="AG270" s="343"/>
      <c r="AH270" s="381">
        <f t="shared" ref="AH270:AH271" si="107">$M270*T$2</f>
        <v>137000</v>
      </c>
      <c r="AI270" s="381">
        <f t="shared" ref="AI270:AI271" si="108">$M270*U$2</f>
        <v>205500</v>
      </c>
      <c r="AJ270" s="381"/>
      <c r="AK270" s="381"/>
      <c r="AW270" s="217">
        <f t="shared" si="92"/>
        <v>2</v>
      </c>
      <c r="AX270" s="217">
        <f t="shared" si="93"/>
        <v>2</v>
      </c>
      <c r="AY270" s="217">
        <f t="shared" si="94"/>
        <v>0</v>
      </c>
      <c r="AZ270" s="217">
        <f t="shared" si="95"/>
        <v>3</v>
      </c>
      <c r="BA270" s="217">
        <f t="shared" si="96"/>
        <v>0</v>
      </c>
      <c r="BB270" s="217">
        <f t="shared" si="97"/>
        <v>3</v>
      </c>
      <c r="BC270" s="217">
        <f t="shared" si="98"/>
        <v>31</v>
      </c>
      <c r="BD270" s="217"/>
      <c r="BE270" s="217">
        <f t="shared" si="99"/>
        <v>5</v>
      </c>
      <c r="BF270" s="217">
        <f t="shared" si="100"/>
        <v>5</v>
      </c>
      <c r="BG270" s="217">
        <f t="shared" si="101"/>
        <v>0</v>
      </c>
      <c r="BH270" s="217">
        <f t="shared" si="102"/>
        <v>5</v>
      </c>
      <c r="BI270" s="217">
        <f t="shared" si="103"/>
        <v>0</v>
      </c>
      <c r="BJ270" s="217">
        <f t="shared" si="104"/>
        <v>5</v>
      </c>
      <c r="BK270" s="217">
        <f t="shared" si="105"/>
        <v>65</v>
      </c>
    </row>
    <row r="271" spans="2:63" s="372" customFormat="1" ht="30" customHeight="1" x14ac:dyDescent="0.35">
      <c r="B271" s="373" t="s">
        <v>1195</v>
      </c>
      <c r="C271" s="374" t="s">
        <v>1196</v>
      </c>
      <c r="D271" s="375" t="s">
        <v>1179</v>
      </c>
      <c r="E271" s="375" t="s">
        <v>1178</v>
      </c>
      <c r="F271" s="383">
        <f>6+54/60+9/3600</f>
        <v>6.9025000000000007</v>
      </c>
      <c r="G271" s="383">
        <f>134+7/60+47/3600</f>
        <v>134.12972222222223</v>
      </c>
      <c r="H271" s="383">
        <f>6+55/60+17/3600</f>
        <v>6.921388888888889</v>
      </c>
      <c r="I271" s="383">
        <f>134+8/60+22/3600</f>
        <v>134.13944444444445</v>
      </c>
      <c r="J271" s="375" t="s">
        <v>277</v>
      </c>
      <c r="K271" s="377" t="s">
        <v>421</v>
      </c>
      <c r="L271" s="375" t="s">
        <v>311</v>
      </c>
      <c r="M271" s="378">
        <v>7905</v>
      </c>
      <c r="N271" s="379">
        <v>5</v>
      </c>
      <c r="O271" s="375">
        <v>2</v>
      </c>
      <c r="P271" s="375" t="s">
        <v>83</v>
      </c>
      <c r="Q271" s="375" t="s">
        <v>1156</v>
      </c>
      <c r="R271" s="375" t="s">
        <v>92</v>
      </c>
      <c r="S271" s="380" t="s">
        <v>92</v>
      </c>
      <c r="T271" s="154">
        <v>2</v>
      </c>
      <c r="U271" s="154">
        <v>2</v>
      </c>
      <c r="V271" s="154" t="s">
        <v>311</v>
      </c>
      <c r="W271" s="154">
        <v>2</v>
      </c>
      <c r="X271" s="154" t="s">
        <v>311</v>
      </c>
      <c r="Y271" s="154">
        <v>2</v>
      </c>
      <c r="Z271" s="154">
        <f t="shared" si="106"/>
        <v>40</v>
      </c>
      <c r="AA271" s="405">
        <f t="shared" si="89"/>
        <v>3952500</v>
      </c>
      <c r="AB271" s="405">
        <f t="shared" si="90"/>
        <v>2371500</v>
      </c>
      <c r="AC271" s="407">
        <f t="shared" si="91"/>
        <v>35600</v>
      </c>
      <c r="AD271" s="343"/>
      <c r="AE271" s="343"/>
      <c r="AF271" s="343"/>
      <c r="AG271" s="343"/>
      <c r="AH271" s="381">
        <f t="shared" si="107"/>
        <v>1581000</v>
      </c>
      <c r="AI271" s="381">
        <f t="shared" si="108"/>
        <v>2371500</v>
      </c>
      <c r="AJ271" s="381"/>
      <c r="AK271" s="381"/>
      <c r="AW271" s="217">
        <f t="shared" si="92"/>
        <v>2</v>
      </c>
      <c r="AX271" s="217">
        <f t="shared" si="93"/>
        <v>2</v>
      </c>
      <c r="AY271" s="217">
        <f t="shared" si="94"/>
        <v>0</v>
      </c>
      <c r="AZ271" s="217">
        <f t="shared" si="95"/>
        <v>2</v>
      </c>
      <c r="BA271" s="217">
        <f t="shared" si="96"/>
        <v>0</v>
      </c>
      <c r="BB271" s="217">
        <f t="shared" si="97"/>
        <v>2</v>
      </c>
      <c r="BC271" s="217">
        <f t="shared" si="98"/>
        <v>26</v>
      </c>
      <c r="BD271" s="217"/>
      <c r="BE271" s="217">
        <f t="shared" si="99"/>
        <v>5</v>
      </c>
      <c r="BF271" s="217">
        <f t="shared" si="100"/>
        <v>5</v>
      </c>
      <c r="BG271" s="217">
        <f t="shared" si="101"/>
        <v>0</v>
      </c>
      <c r="BH271" s="217">
        <f t="shared" si="102"/>
        <v>5</v>
      </c>
      <c r="BI271" s="217">
        <f t="shared" si="103"/>
        <v>0</v>
      </c>
      <c r="BJ271" s="217">
        <f t="shared" si="104"/>
        <v>5</v>
      </c>
      <c r="BK271" s="217">
        <f t="shared" si="105"/>
        <v>65</v>
      </c>
    </row>
    <row r="272" spans="2:63" ht="30" customHeight="1" x14ac:dyDescent="0.3">
      <c r="B272" s="124"/>
      <c r="C272" s="126"/>
      <c r="D272" s="125"/>
      <c r="E272" s="125"/>
      <c r="F272" s="125"/>
      <c r="G272" s="125"/>
      <c r="H272" s="125"/>
      <c r="I272" s="125"/>
      <c r="J272" s="125"/>
      <c r="K272" s="113"/>
      <c r="L272" s="113"/>
      <c r="M272" s="114"/>
      <c r="N272" s="114"/>
      <c r="O272" s="114"/>
      <c r="P272" s="114"/>
      <c r="Q272" s="114"/>
      <c r="R272" s="114"/>
      <c r="S272" s="397"/>
      <c r="T272" s="154"/>
      <c r="U272" s="154"/>
      <c r="V272" s="154"/>
      <c r="W272" s="154"/>
      <c r="X272" s="154"/>
      <c r="Y272" s="154"/>
      <c r="Z272" s="154"/>
      <c r="AA272" s="343"/>
      <c r="AB272" s="343"/>
      <c r="AC272" s="343"/>
      <c r="AD272" s="343"/>
      <c r="AE272" s="343"/>
      <c r="AF272" s="343"/>
      <c r="AG272" s="343"/>
    </row>
    <row r="273" spans="2:37" ht="25" customHeight="1" x14ac:dyDescent="0.3">
      <c r="B273" s="124"/>
      <c r="C273" s="126"/>
      <c r="D273" s="125"/>
      <c r="E273" s="125"/>
      <c r="F273" s="125"/>
      <c r="G273" s="125"/>
      <c r="H273" s="125"/>
      <c r="I273" s="125"/>
      <c r="J273" s="125"/>
      <c r="K273" s="113"/>
      <c r="L273" s="113"/>
      <c r="M273" s="114"/>
      <c r="N273" s="114"/>
      <c r="O273" s="114"/>
      <c r="P273" s="114"/>
      <c r="Q273" s="114"/>
      <c r="R273" s="114"/>
      <c r="S273" s="397"/>
      <c r="T273" s="154"/>
      <c r="U273" s="154"/>
      <c r="V273" s="154"/>
      <c r="W273" s="154"/>
      <c r="X273" s="154"/>
      <c r="Y273" s="154"/>
      <c r="Z273" s="154"/>
      <c r="AA273" s="407">
        <f>SUM(AA6:AA271)</f>
        <v>166856250</v>
      </c>
      <c r="AB273" s="407">
        <f t="shared" ref="AB273:AC273" si="109">SUM(AB6:AB271)</f>
        <v>100947450</v>
      </c>
      <c r="AC273" s="407">
        <f t="shared" si="109"/>
        <v>1514600</v>
      </c>
      <c r="AD273" s="343"/>
      <c r="AE273" s="343"/>
      <c r="AF273" s="343"/>
      <c r="AG273" s="343"/>
    </row>
    <row r="274" spans="2:37" ht="25" customHeight="1" x14ac:dyDescent="0.3">
      <c r="B274" s="124"/>
      <c r="C274" s="126"/>
      <c r="D274" s="125"/>
      <c r="E274" s="125"/>
      <c r="F274" s="125"/>
      <c r="G274" s="125"/>
      <c r="H274" s="125"/>
      <c r="I274" s="125"/>
      <c r="J274" s="125"/>
      <c r="K274" s="113"/>
      <c r="L274" s="113"/>
      <c r="M274" s="114"/>
      <c r="N274" s="114"/>
      <c r="O274" s="114"/>
      <c r="P274" s="114"/>
      <c r="Q274" s="114"/>
      <c r="R274" s="114"/>
      <c r="S274" s="397"/>
      <c r="T274" s="154"/>
      <c r="U274" s="154"/>
      <c r="V274" s="154"/>
      <c r="W274" s="154"/>
      <c r="X274" s="154"/>
      <c r="Y274" s="154"/>
      <c r="Z274" s="154"/>
      <c r="AA274" s="343"/>
      <c r="AB274" s="343"/>
      <c r="AC274" s="343"/>
      <c r="AD274" s="343"/>
      <c r="AE274" s="343"/>
      <c r="AF274" s="343"/>
      <c r="AG274" s="343"/>
      <c r="AH274" s="398">
        <f>SUM(AH6:AH271)</f>
        <v>18934000</v>
      </c>
      <c r="AI274" s="398">
        <f>SUM(AI6:AI271)</f>
        <v>32997300</v>
      </c>
      <c r="AJ274" s="398">
        <f t="shared" ref="AJ274:AK274" si="110">SUM(AJ6:AJ271)</f>
        <v>9058200</v>
      </c>
      <c r="AK274" s="398">
        <f t="shared" si="110"/>
        <v>925000</v>
      </c>
    </row>
    <row r="275" spans="2:37" x14ac:dyDescent="0.3">
      <c r="B275" s="281"/>
      <c r="C275" s="280"/>
      <c r="D275" s="280"/>
      <c r="E275" s="281"/>
      <c r="F275" s="399"/>
      <c r="G275" s="399"/>
      <c r="H275" s="400"/>
      <c r="I275" s="399"/>
      <c r="J275" s="280"/>
      <c r="K275" s="399"/>
      <c r="L275" s="399"/>
      <c r="M275" s="399"/>
      <c r="N275" s="399"/>
      <c r="O275" s="399"/>
      <c r="P275" s="399"/>
      <c r="Q275" s="280"/>
      <c r="R275" s="280"/>
      <c r="S275" s="280"/>
      <c r="T275" s="401"/>
      <c r="U275" s="401"/>
      <c r="V275" s="401"/>
      <c r="W275" s="401"/>
      <c r="X275" s="401"/>
      <c r="Y275" s="401"/>
      <c r="Z275" s="402"/>
      <c r="AA275" s="403"/>
      <c r="AB275" s="403"/>
      <c r="AC275" s="403"/>
      <c r="AD275" s="403"/>
      <c r="AE275" s="403"/>
      <c r="AF275" s="403"/>
      <c r="AG275" s="403"/>
    </row>
    <row r="276" spans="2:37" x14ac:dyDescent="0.3">
      <c r="B276" s="281"/>
      <c r="C276" s="280"/>
      <c r="D276" s="280"/>
      <c r="E276" s="281"/>
      <c r="F276" s="399"/>
      <c r="G276" s="399"/>
      <c r="H276" s="400"/>
      <c r="I276" s="399"/>
      <c r="J276" s="280"/>
      <c r="K276" s="399"/>
      <c r="L276" s="399"/>
      <c r="M276" s="399"/>
      <c r="N276" s="399"/>
      <c r="O276" s="399"/>
      <c r="P276" s="399"/>
      <c r="Q276" s="280"/>
      <c r="R276" s="280"/>
      <c r="S276" s="280"/>
      <c r="T276" s="401"/>
      <c r="U276" s="401"/>
      <c r="V276" s="401"/>
      <c r="W276" s="401"/>
      <c r="X276" s="401"/>
      <c r="Y276" s="401"/>
      <c r="Z276" s="402"/>
      <c r="AA276" s="403"/>
      <c r="AB276" s="403"/>
      <c r="AC276" s="403"/>
      <c r="AD276" s="403"/>
      <c r="AE276" s="403"/>
      <c r="AF276" s="403"/>
      <c r="AG276" s="403"/>
    </row>
    <row r="277" spans="2:37" x14ac:dyDescent="0.3">
      <c r="B277" s="281"/>
      <c r="C277" s="280"/>
      <c r="D277" s="280"/>
      <c r="E277" s="281"/>
      <c r="F277" s="399"/>
      <c r="G277" s="399"/>
      <c r="H277" s="400"/>
      <c r="I277" s="399"/>
      <c r="J277" s="280"/>
      <c r="K277" s="399"/>
      <c r="L277" s="399"/>
      <c r="M277" s="399"/>
      <c r="N277" s="399"/>
      <c r="O277" s="399"/>
      <c r="P277" s="399"/>
      <c r="Q277" s="280"/>
      <c r="R277" s="280"/>
      <c r="S277" s="280"/>
      <c r="T277" s="401"/>
      <c r="U277" s="401"/>
      <c r="V277" s="401"/>
      <c r="W277" s="401"/>
      <c r="X277" s="401"/>
      <c r="Y277" s="401"/>
      <c r="Z277" s="402"/>
      <c r="AA277" s="403"/>
      <c r="AB277" s="403"/>
      <c r="AC277" s="403"/>
      <c r="AD277" s="403"/>
      <c r="AE277" s="403"/>
      <c r="AF277" s="403"/>
      <c r="AG277" s="403"/>
    </row>
    <row r="278" spans="2:37" x14ac:dyDescent="0.3">
      <c r="B278" s="281"/>
      <c r="C278" s="280"/>
      <c r="D278" s="280"/>
      <c r="E278" s="281"/>
      <c r="F278" s="399"/>
      <c r="G278" s="399"/>
      <c r="H278" s="400"/>
      <c r="I278" s="399"/>
      <c r="J278" s="280"/>
      <c r="K278" s="399"/>
      <c r="L278" s="399"/>
      <c r="M278" s="399"/>
      <c r="N278" s="399"/>
      <c r="O278" s="399"/>
      <c r="P278" s="399"/>
      <c r="Q278" s="280"/>
      <c r="R278" s="280"/>
      <c r="S278" s="280"/>
      <c r="T278" s="401"/>
      <c r="U278" s="401"/>
      <c r="V278" s="401"/>
      <c r="W278" s="401"/>
      <c r="X278" s="401"/>
      <c r="Y278" s="401"/>
      <c r="Z278" s="402"/>
      <c r="AA278" s="403"/>
      <c r="AB278" s="403"/>
      <c r="AC278" s="403"/>
      <c r="AD278" s="403"/>
      <c r="AE278" s="403"/>
      <c r="AF278" s="403"/>
      <c r="AG278" s="403"/>
    </row>
    <row r="279" spans="2:37" x14ac:dyDescent="0.3">
      <c r="B279" s="281"/>
      <c r="C279" s="280"/>
      <c r="D279" s="280"/>
      <c r="E279" s="281"/>
      <c r="F279" s="399"/>
      <c r="G279" s="399"/>
      <c r="H279" s="400"/>
      <c r="I279" s="399"/>
      <c r="J279" s="280"/>
      <c r="K279" s="399"/>
      <c r="L279" s="399"/>
      <c r="M279" s="399"/>
      <c r="N279" s="399"/>
      <c r="O279" s="399"/>
      <c r="P279" s="399"/>
      <c r="Q279" s="280"/>
      <c r="R279" s="280"/>
      <c r="S279" s="280"/>
      <c r="T279" s="401"/>
      <c r="U279" s="401"/>
      <c r="V279" s="401"/>
      <c r="W279" s="401"/>
      <c r="X279" s="401"/>
      <c r="Y279" s="401"/>
      <c r="Z279" s="402"/>
      <c r="AA279" s="403"/>
      <c r="AB279" s="403"/>
      <c r="AC279" s="403"/>
      <c r="AD279" s="403"/>
      <c r="AE279" s="403"/>
      <c r="AF279" s="403"/>
      <c r="AG279" s="403"/>
    </row>
    <row r="280" spans="2:37" x14ac:dyDescent="0.3">
      <c r="B280" s="281"/>
      <c r="C280" s="280"/>
      <c r="D280" s="280"/>
      <c r="E280" s="281"/>
      <c r="F280" s="399"/>
      <c r="G280" s="399"/>
      <c r="H280" s="400"/>
      <c r="I280" s="399"/>
      <c r="J280" s="280"/>
      <c r="K280" s="399"/>
      <c r="L280" s="399"/>
      <c r="M280" s="399"/>
      <c r="N280" s="399"/>
      <c r="O280" s="399"/>
      <c r="P280" s="399"/>
      <c r="Q280" s="280"/>
      <c r="R280" s="280"/>
      <c r="S280" s="280"/>
      <c r="T280" s="401"/>
      <c r="U280" s="401"/>
      <c r="V280" s="401"/>
      <c r="W280" s="401"/>
      <c r="X280" s="401"/>
      <c r="Y280" s="401"/>
      <c r="Z280" s="402"/>
      <c r="AA280" s="403"/>
      <c r="AB280" s="403"/>
      <c r="AC280" s="403"/>
      <c r="AD280" s="403"/>
      <c r="AE280" s="403"/>
      <c r="AF280" s="403"/>
      <c r="AG280" s="403"/>
    </row>
    <row r="281" spans="2:37" x14ac:dyDescent="0.3">
      <c r="B281" s="281"/>
      <c r="C281" s="280"/>
      <c r="D281" s="280"/>
      <c r="E281" s="281"/>
      <c r="F281" s="399"/>
      <c r="G281" s="399"/>
      <c r="H281" s="400"/>
      <c r="I281" s="399"/>
      <c r="J281" s="280"/>
      <c r="K281" s="399"/>
      <c r="L281" s="399"/>
      <c r="M281" s="399"/>
      <c r="N281" s="399"/>
      <c r="O281" s="399"/>
      <c r="P281" s="399"/>
      <c r="Q281" s="280"/>
      <c r="R281" s="280"/>
      <c r="S281" s="280"/>
      <c r="T281" s="401"/>
      <c r="U281" s="401"/>
      <c r="V281" s="401"/>
      <c r="W281" s="401"/>
      <c r="X281" s="401"/>
      <c r="Y281" s="401"/>
      <c r="Z281" s="402"/>
      <c r="AA281" s="403"/>
      <c r="AB281" s="403"/>
      <c r="AC281" s="403"/>
      <c r="AD281" s="403"/>
      <c r="AE281" s="403"/>
      <c r="AF281" s="403"/>
      <c r="AG281" s="403"/>
    </row>
    <row r="282" spans="2:37" x14ac:dyDescent="0.3">
      <c r="B282" s="281"/>
      <c r="C282" s="280"/>
      <c r="D282" s="280"/>
      <c r="E282" s="281"/>
      <c r="F282" s="399"/>
      <c r="G282" s="399"/>
      <c r="H282" s="400"/>
      <c r="I282" s="399"/>
      <c r="J282" s="280"/>
      <c r="K282" s="399"/>
      <c r="L282" s="399"/>
      <c r="M282" s="399"/>
      <c r="N282" s="399"/>
      <c r="O282" s="399"/>
      <c r="P282" s="399"/>
      <c r="Q282" s="280"/>
      <c r="R282" s="280"/>
      <c r="S282" s="280"/>
      <c r="T282" s="401"/>
      <c r="U282" s="401"/>
      <c r="V282" s="401"/>
      <c r="W282" s="401"/>
      <c r="X282" s="401"/>
      <c r="Y282" s="401"/>
      <c r="Z282" s="402"/>
      <c r="AA282" s="403"/>
      <c r="AB282" s="403"/>
      <c r="AC282" s="403"/>
      <c r="AD282" s="403"/>
      <c r="AE282" s="403"/>
      <c r="AF282" s="403"/>
      <c r="AG282" s="403"/>
    </row>
    <row r="283" spans="2:37" x14ac:dyDescent="0.3">
      <c r="B283" s="281"/>
      <c r="C283" s="280"/>
      <c r="D283" s="280"/>
      <c r="E283" s="281"/>
      <c r="F283" s="399"/>
      <c r="G283" s="399"/>
      <c r="H283" s="400"/>
      <c r="I283" s="399"/>
      <c r="J283" s="280"/>
      <c r="K283" s="399"/>
      <c r="L283" s="399"/>
      <c r="M283" s="399"/>
      <c r="N283" s="399"/>
      <c r="O283" s="399"/>
      <c r="P283" s="399"/>
      <c r="Q283" s="280"/>
      <c r="R283" s="280"/>
      <c r="S283" s="280"/>
      <c r="T283" s="401"/>
      <c r="U283" s="401"/>
      <c r="V283" s="401"/>
      <c r="W283" s="401"/>
      <c r="X283" s="401"/>
      <c r="Y283" s="401"/>
      <c r="Z283" s="402" t="e">
        <f t="shared" si="106"/>
        <v>#DIV/0!</v>
      </c>
      <c r="AA283" s="403"/>
      <c r="AB283" s="403"/>
      <c r="AC283" s="403"/>
      <c r="AD283" s="403"/>
      <c r="AE283" s="403"/>
      <c r="AF283" s="403"/>
      <c r="AG283" s="403"/>
    </row>
    <row r="284" spans="2:37" x14ac:dyDescent="0.3">
      <c r="B284" s="281"/>
      <c r="C284" s="280"/>
      <c r="D284" s="280"/>
      <c r="E284" s="281"/>
      <c r="F284" s="399"/>
      <c r="G284" s="399"/>
      <c r="H284" s="400"/>
      <c r="I284" s="399"/>
      <c r="J284" s="280"/>
      <c r="K284" s="399"/>
      <c r="L284" s="399"/>
      <c r="M284" s="399"/>
      <c r="N284" s="399"/>
      <c r="O284" s="399"/>
      <c r="P284" s="399"/>
      <c r="Q284" s="280"/>
      <c r="R284" s="280"/>
      <c r="S284" s="280"/>
      <c r="T284" s="401"/>
      <c r="U284" s="401"/>
      <c r="V284" s="401"/>
      <c r="W284" s="401"/>
      <c r="X284" s="401"/>
      <c r="Y284" s="401"/>
      <c r="Z284" s="402" t="e">
        <f t="shared" si="106"/>
        <v>#DIV/0!</v>
      </c>
      <c r="AA284" s="403"/>
      <c r="AB284" s="403"/>
      <c r="AC284" s="403"/>
      <c r="AD284" s="403"/>
      <c r="AE284" s="403"/>
      <c r="AF284" s="403"/>
      <c r="AG284" s="403"/>
    </row>
    <row r="285" spans="2:37" x14ac:dyDescent="0.3">
      <c r="B285" s="281"/>
      <c r="C285" s="280"/>
      <c r="D285" s="280"/>
      <c r="E285" s="281"/>
      <c r="F285" s="399"/>
      <c r="G285" s="399"/>
      <c r="H285" s="400"/>
      <c r="I285" s="399"/>
      <c r="J285" s="280"/>
      <c r="K285" s="399"/>
      <c r="L285" s="399"/>
      <c r="M285" s="399"/>
      <c r="N285" s="399"/>
      <c r="O285" s="399"/>
      <c r="P285" s="399"/>
      <c r="Q285" s="280"/>
      <c r="R285" s="280"/>
      <c r="S285" s="280"/>
      <c r="T285" s="401"/>
      <c r="U285" s="401"/>
      <c r="V285" s="401"/>
      <c r="W285" s="401"/>
      <c r="X285" s="401"/>
      <c r="Y285" s="401"/>
      <c r="Z285" s="402" t="e">
        <f t="shared" si="106"/>
        <v>#DIV/0!</v>
      </c>
      <c r="AA285" s="403"/>
      <c r="AB285" s="403"/>
      <c r="AC285" s="403"/>
      <c r="AD285" s="403"/>
      <c r="AE285" s="403"/>
      <c r="AF285" s="403"/>
      <c r="AG285" s="403"/>
    </row>
    <row r="286" spans="2:37" x14ac:dyDescent="0.3">
      <c r="B286" s="281"/>
      <c r="C286" s="280"/>
      <c r="D286" s="280"/>
      <c r="E286" s="281"/>
      <c r="F286" s="399"/>
      <c r="G286" s="399"/>
      <c r="H286" s="400"/>
      <c r="I286" s="399"/>
      <c r="J286" s="280"/>
      <c r="K286" s="399"/>
      <c r="L286" s="399"/>
      <c r="M286" s="399"/>
      <c r="N286" s="399"/>
      <c r="O286" s="399"/>
      <c r="P286" s="399"/>
      <c r="Q286" s="280"/>
      <c r="R286" s="280"/>
      <c r="S286" s="280"/>
      <c r="Z286" s="370" t="e">
        <f t="shared" si="106"/>
        <v>#DIV/0!</v>
      </c>
      <c r="AA286" s="371"/>
      <c r="AB286" s="371"/>
      <c r="AC286" s="371"/>
      <c r="AD286" s="371"/>
      <c r="AE286" s="371"/>
      <c r="AF286" s="371"/>
      <c r="AG286" s="371"/>
    </row>
    <row r="287" spans="2:37" x14ac:dyDescent="0.3">
      <c r="B287" s="281"/>
      <c r="C287" s="280"/>
      <c r="D287" s="280"/>
      <c r="E287" s="281"/>
      <c r="F287" s="399"/>
      <c r="G287" s="399"/>
      <c r="H287" s="400"/>
      <c r="I287" s="399"/>
      <c r="J287" s="280"/>
      <c r="K287" s="399"/>
      <c r="L287" s="399"/>
      <c r="M287" s="399"/>
      <c r="N287" s="399"/>
      <c r="O287" s="399"/>
      <c r="P287" s="399"/>
      <c r="Q287" s="280"/>
      <c r="R287" s="280"/>
      <c r="S287" s="280"/>
      <c r="Z287" s="370" t="e">
        <f t="shared" si="106"/>
        <v>#DIV/0!</v>
      </c>
      <c r="AA287" s="371"/>
      <c r="AB287" s="371"/>
      <c r="AC287" s="371"/>
      <c r="AD287" s="371"/>
      <c r="AE287" s="371"/>
      <c r="AF287" s="371"/>
      <c r="AG287" s="371"/>
    </row>
    <row r="288" spans="2:37" x14ac:dyDescent="0.3">
      <c r="B288" s="281"/>
      <c r="C288" s="280"/>
      <c r="D288" s="280"/>
      <c r="E288" s="281"/>
      <c r="F288" s="399"/>
      <c r="G288" s="399"/>
      <c r="H288" s="400"/>
      <c r="I288" s="399"/>
      <c r="J288" s="280"/>
      <c r="K288" s="399"/>
      <c r="L288" s="399"/>
      <c r="M288" s="399"/>
      <c r="N288" s="399"/>
      <c r="O288" s="399"/>
      <c r="P288" s="399"/>
      <c r="Q288" s="280"/>
      <c r="R288" s="280"/>
      <c r="S288" s="280"/>
    </row>
    <row r="289" spans="2:19" x14ac:dyDescent="0.3">
      <c r="B289" s="281"/>
      <c r="C289" s="280"/>
      <c r="D289" s="280"/>
      <c r="E289" s="281"/>
      <c r="F289" s="399"/>
      <c r="G289" s="399"/>
      <c r="H289" s="400"/>
      <c r="I289" s="399"/>
      <c r="J289" s="280"/>
      <c r="K289" s="399"/>
      <c r="L289" s="399"/>
      <c r="M289" s="399"/>
      <c r="N289" s="399"/>
      <c r="O289" s="399"/>
      <c r="P289" s="399"/>
      <c r="Q289" s="280"/>
      <c r="R289" s="280"/>
      <c r="S289" s="280"/>
    </row>
    <row r="290" spans="2:19" x14ac:dyDescent="0.3">
      <c r="B290" s="281"/>
      <c r="C290" s="280"/>
      <c r="D290" s="280"/>
      <c r="E290" s="281"/>
      <c r="F290" s="399"/>
      <c r="G290" s="399"/>
      <c r="H290" s="400"/>
      <c r="I290" s="399"/>
      <c r="J290" s="280"/>
      <c r="K290" s="399"/>
      <c r="L290" s="399"/>
      <c r="M290" s="399"/>
      <c r="N290" s="399"/>
      <c r="O290" s="399"/>
      <c r="P290" s="399"/>
      <c r="Q290" s="280"/>
      <c r="R290" s="280"/>
      <c r="S290" s="280"/>
    </row>
    <row r="291" spans="2:19" x14ac:dyDescent="0.3">
      <c r="B291" s="281"/>
      <c r="C291" s="280"/>
      <c r="D291" s="280"/>
      <c r="E291" s="281"/>
      <c r="F291" s="399"/>
      <c r="G291" s="399"/>
      <c r="H291" s="400"/>
      <c r="I291" s="399"/>
      <c r="J291" s="280"/>
      <c r="K291" s="399"/>
      <c r="L291" s="399"/>
      <c r="M291" s="399"/>
      <c r="N291" s="399"/>
      <c r="O291" s="399"/>
      <c r="P291" s="399"/>
      <c r="Q291" s="280"/>
      <c r="R291" s="280"/>
      <c r="S291" s="280"/>
    </row>
    <row r="292" spans="2:19" x14ac:dyDescent="0.3">
      <c r="B292" s="281"/>
      <c r="C292" s="280"/>
      <c r="D292" s="280"/>
      <c r="E292" s="281"/>
      <c r="F292" s="399"/>
      <c r="G292" s="399"/>
      <c r="H292" s="400"/>
      <c r="I292" s="399"/>
      <c r="J292" s="280"/>
      <c r="K292" s="399"/>
      <c r="L292" s="399"/>
      <c r="M292" s="399"/>
      <c r="N292" s="399"/>
      <c r="O292" s="399"/>
      <c r="P292" s="399"/>
      <c r="Q292" s="280"/>
      <c r="R292" s="280"/>
      <c r="S292" s="280"/>
    </row>
  </sheetData>
  <mergeCells count="8">
    <mergeCell ref="F4:G4"/>
    <mergeCell ref="H4:I4"/>
    <mergeCell ref="D4:E4"/>
    <mergeCell ref="AA3:AB3"/>
    <mergeCell ref="T3:Y3"/>
    <mergeCell ref="M3:S3"/>
    <mergeCell ref="K3:L3"/>
    <mergeCell ref="B3:J3"/>
  </mergeCells>
  <conditionalFormatting sqref="T6:Y271">
    <cfRule type="cellIs" dxfId="34" priority="3" operator="equal">
      <formula>2</formula>
    </cfRule>
    <cfRule type="cellIs" dxfId="33" priority="4" operator="equal">
      <formula>1</formula>
    </cfRule>
    <cfRule type="cellIs" dxfId="32" priority="5" operator="equal">
      <formula>1</formula>
    </cfRule>
  </conditionalFormatting>
  <conditionalFormatting sqref="Z5:AG271">
    <cfRule type="cellIs" dxfId="31" priority="1" operator="between">
      <formula>21</formula>
      <formula>40</formula>
    </cfRule>
    <cfRule type="cellIs" dxfId="30" priority="2" operator="between">
      <formula>1</formula>
      <formula>20</formula>
    </cfRule>
  </conditionalFormatting>
  <pageMargins left="0.7" right="0.7" top="0.75" bottom="0.75" header="0.3" footer="0.3"/>
  <pageSetup orientation="landscape" r:id="rId1"/>
  <headerFooter>
    <oddFooter>&amp;L&amp;1#&amp;"Calibri"&amp;9&amp;K000000INTERNAL. This information is accessible to ADB Management and staff. It may be shared outside ADB with appropriate permission.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00000000-0002-0000-0100-000000000000}">
          <x14:formula1>
            <xm:f>'Asset Condition Ratings'!$C$2:$C$7</xm:f>
          </x14:formula1>
          <xm:sqref>T201</xm:sqref>
        </x14:dataValidation>
        <x14:dataValidation type="list" allowBlank="1" showInputMessage="1" showErrorMessage="1" xr:uid="{00000000-0002-0000-0100-000001000000}">
          <x14:formula1>
            <xm:f>'Asset Condition Ratings'!$C$11:$C$16</xm:f>
          </x14:formula1>
          <xm:sqref>O201:S201</xm:sqref>
        </x14:dataValidation>
        <x14:dataValidation type="list" allowBlank="1" showInputMessage="1" showErrorMessage="1" xr:uid="{00000000-0002-0000-0100-000002000000}">
          <x14:formula1>
            <xm:f>'Validation Lists'!$B$105:$B$112</xm:f>
          </x14:formula1>
          <xm:sqref>N201</xm:sqref>
        </x14:dataValidation>
        <x14:dataValidation type="list" allowBlank="1" showInputMessage="1" showErrorMessage="1" xr:uid="{00000000-0002-0000-0100-000003000000}">
          <x14:formula1>
            <xm:f>'Validation Lists'!$B$97:$B$103</xm:f>
          </x14:formula1>
          <xm:sqref>M201</xm:sqref>
        </x14:dataValidation>
        <x14:dataValidation type="list" allowBlank="1" showInputMessage="1" showErrorMessage="1" xr:uid="{00000000-0002-0000-0100-000004000000}">
          <x14:formula1>
            <xm:f>'Validation Lists'!$B$88:$B$95</xm:f>
          </x14:formula1>
          <xm:sqref>L201</xm:sqref>
        </x14:dataValidation>
        <x14:dataValidation type="list" allowBlank="1" showInputMessage="1" showErrorMessage="1" xr:uid="{00000000-0002-0000-0100-000005000000}">
          <x14:formula1>
            <xm:f>'Validation Lists'!$B$81:$B$85</xm:f>
          </x14:formula1>
          <xm:sqref>K201</xm:sqref>
        </x14:dataValidation>
        <x14:dataValidation type="list" allowBlank="1" showInputMessage="1" showErrorMessage="1" xr:uid="{00000000-0002-0000-0100-000007000000}">
          <x14:formula1>
            <xm:f>'Validation Lists'!$B$3:$B$16</xm:f>
          </x14:formula1>
          <xm:sqref>E201</xm:sqref>
        </x14:dataValidation>
        <x14:dataValidation type="list" allowBlank="1" showInputMessage="1" showErrorMessage="1" xr:uid="{00000000-0002-0000-0100-000006000000}">
          <x14:formula1>
            <xm:f>'Validation Lists'!$B$18:$B$79</xm:f>
          </x14:formula1>
          <xm:sqref>F5:F201</xm:sqref>
        </x14:dataValidation>
        <x14:dataValidation type="list" allowBlank="1" showInputMessage="1" showErrorMessage="1" xr:uid="{00000000-0002-0000-0100-000008000000}">
          <x14:formula1>
            <xm:f>'Validation Lists'!$D$58:$D$79</xm:f>
          </x14:formula1>
          <xm:sqref>G5:G200</xm:sqref>
        </x14:dataValidation>
        <x14:dataValidation type="list" allowBlank="1" showInputMessage="1" showErrorMessage="1" xr:uid="{00000000-0002-0000-0100-000009000000}">
          <x14:formula1>
            <xm:f>'Validation Lists'!$B$127:$B$129</xm:f>
          </x14:formula1>
          <xm:sqref>K5:K200</xm:sqref>
        </x14:dataValidation>
        <x14:dataValidation type="list" allowBlank="1" showInputMessage="1" showErrorMessage="1" xr:uid="{00000000-0002-0000-0100-00000A000000}">
          <x14:formula1>
            <xm:f>'Validation Lists'!$B$131:$B$133</xm:f>
          </x14:formula1>
          <xm:sqref>L5:L200</xm:sqref>
        </x14:dataValidation>
        <x14:dataValidation type="list" allowBlank="1" showInputMessage="1" showErrorMessage="1" xr:uid="{00000000-0002-0000-0100-00000B000000}">
          <x14:formula1>
            <xm:f>'Validation Lists'!$B$135:$B$137</xm:f>
          </x14:formula1>
          <xm:sqref>M5:M200</xm:sqref>
        </x14:dataValidation>
        <x14:dataValidation type="list" allowBlank="1" showInputMessage="1" showErrorMessage="1" xr:uid="{00000000-0002-0000-0100-00000C000000}">
          <x14:formula1>
            <xm:f>'Validation Lists'!$B$139:$B$141</xm:f>
          </x14:formula1>
          <xm:sqref>N5:N200</xm:sqref>
        </x14:dataValidation>
        <x14:dataValidation type="list" allowBlank="1" showInputMessage="1" showErrorMessage="1" xr:uid="{00000000-0002-0000-0100-00000D000000}">
          <x14:formula1>
            <xm:f>'Validation Lists'!$B$122:$B$125</xm:f>
          </x14:formula1>
          <xm:sqref>E5:E200</xm:sqref>
        </x14:dataValidation>
        <x14:dataValidation type="list" allowBlank="1" showInputMessage="1" showErrorMessage="1" xr:uid="{00000000-0002-0000-0100-00000E000000}">
          <x14:formula1>
            <xm:f>'Asset Condition Ratings'!$C$6:$C$10</xm:f>
          </x14:formula1>
          <xm:sqref>O5:S200</xm:sqref>
        </x14:dataValidation>
        <x14:dataValidation type="list" allowBlank="1" showInputMessage="1" showErrorMessage="1" xr:uid="{00000000-0002-0000-0100-00000F000000}">
          <x14:formula1>
            <xm:f>'Asset Functional Ratings'!$C$6:$C$10</xm:f>
          </x14:formula1>
          <xm:sqref>T5:T200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200"/>
  <sheetViews>
    <sheetView topLeftCell="B44" workbookViewId="0">
      <selection activeCell="J55" sqref="J55"/>
    </sheetView>
  </sheetViews>
  <sheetFormatPr defaultColWidth="8.81640625" defaultRowHeight="30" customHeight="1" x14ac:dyDescent="0.3"/>
  <cols>
    <col min="1" max="1" width="8.81640625" style="121"/>
    <col min="2" max="2" width="14.1796875" style="133" customWidth="1"/>
    <col min="3" max="3" width="19.6328125" style="133" bestFit="1" customWidth="1"/>
    <col min="4" max="4" width="16.81640625" style="133" customWidth="1"/>
    <col min="5" max="8" width="18.6328125" style="133" customWidth="1"/>
    <col min="9" max="9" width="20.453125" style="133" customWidth="1"/>
    <col min="10" max="10" width="18.6328125" style="109" customWidth="1"/>
    <col min="11" max="16384" width="8.81640625" style="108"/>
  </cols>
  <sheetData>
    <row r="2" spans="1:9" ht="30" customHeight="1" x14ac:dyDescent="0.3">
      <c r="A2" s="550" t="s">
        <v>111</v>
      </c>
      <c r="B2" s="551"/>
      <c r="C2" s="552"/>
      <c r="D2" s="142" t="s">
        <v>110</v>
      </c>
      <c r="E2" s="511" t="s">
        <v>109</v>
      </c>
      <c r="F2" s="512"/>
      <c r="G2" s="512"/>
      <c r="H2" s="139" t="s">
        <v>108</v>
      </c>
      <c r="I2" s="123"/>
    </row>
    <row r="3" spans="1:9" ht="30" customHeight="1" x14ac:dyDescent="0.3">
      <c r="A3" s="111" t="s">
        <v>20</v>
      </c>
      <c r="B3" s="125" t="s">
        <v>247</v>
      </c>
      <c r="C3" s="125" t="s">
        <v>121</v>
      </c>
      <c r="D3" s="113" t="s">
        <v>11</v>
      </c>
      <c r="E3" s="114" t="s">
        <v>248</v>
      </c>
      <c r="F3" s="114" t="s">
        <v>249</v>
      </c>
      <c r="G3" s="114" t="s">
        <v>258</v>
      </c>
      <c r="H3" s="115" t="s">
        <v>259</v>
      </c>
      <c r="I3" s="115" t="s">
        <v>156</v>
      </c>
    </row>
    <row r="4" spans="1:9" ht="30" customHeight="1" x14ac:dyDescent="0.3">
      <c r="A4" s="111">
        <v>1</v>
      </c>
      <c r="B4" s="125"/>
      <c r="C4" s="126" t="s">
        <v>1992</v>
      </c>
      <c r="D4" s="113"/>
      <c r="E4" s="114" t="s">
        <v>251</v>
      </c>
      <c r="F4" s="114" t="s">
        <v>2096</v>
      </c>
      <c r="G4" s="129" t="s">
        <v>1993</v>
      </c>
      <c r="H4" s="134">
        <v>3</v>
      </c>
      <c r="I4" s="134">
        <v>3</v>
      </c>
    </row>
    <row r="5" spans="1:9" ht="30" customHeight="1" x14ac:dyDescent="0.3">
      <c r="A5" s="111">
        <f>A4+1</f>
        <v>2</v>
      </c>
      <c r="B5" s="125"/>
      <c r="C5" s="126" t="s">
        <v>1994</v>
      </c>
      <c r="D5" s="113"/>
      <c r="E5" s="114" t="s">
        <v>251</v>
      </c>
      <c r="F5" s="114" t="s">
        <v>2096</v>
      </c>
      <c r="G5" s="129" t="s">
        <v>1995</v>
      </c>
      <c r="H5" s="134">
        <v>3</v>
      </c>
      <c r="I5" s="134">
        <v>3</v>
      </c>
    </row>
    <row r="6" spans="1:9" ht="30" customHeight="1" x14ac:dyDescent="0.3">
      <c r="A6" s="111">
        <f t="shared" ref="A6:A51" si="0">A5+1</f>
        <v>3</v>
      </c>
      <c r="B6" s="125"/>
      <c r="C6" s="126" t="s">
        <v>1996</v>
      </c>
      <c r="D6" s="113"/>
      <c r="E6" s="114" t="s">
        <v>251</v>
      </c>
      <c r="F6" s="114" t="s">
        <v>2096</v>
      </c>
      <c r="G6" s="129" t="s">
        <v>1997</v>
      </c>
      <c r="H6" s="134">
        <v>3</v>
      </c>
      <c r="I6" s="134">
        <v>3</v>
      </c>
    </row>
    <row r="7" spans="1:9" ht="30" customHeight="1" x14ac:dyDescent="0.3">
      <c r="A7" s="111">
        <f t="shared" si="0"/>
        <v>4</v>
      </c>
      <c r="B7" s="125"/>
      <c r="C7" s="126" t="s">
        <v>1998</v>
      </c>
      <c r="D7" s="113"/>
      <c r="E7" s="114" t="s">
        <v>251</v>
      </c>
      <c r="F7" s="114" t="s">
        <v>2096</v>
      </c>
      <c r="G7" s="129" t="s">
        <v>1999</v>
      </c>
      <c r="H7" s="134">
        <v>3</v>
      </c>
      <c r="I7" s="134">
        <v>3</v>
      </c>
    </row>
    <row r="8" spans="1:9" ht="30" customHeight="1" x14ac:dyDescent="0.3">
      <c r="A8" s="111">
        <f t="shared" si="0"/>
        <v>5</v>
      </c>
      <c r="B8" s="125"/>
      <c r="C8" s="126" t="s">
        <v>2000</v>
      </c>
      <c r="D8" s="113"/>
      <c r="E8" s="114" t="s">
        <v>251</v>
      </c>
      <c r="F8" s="114" t="s">
        <v>2096</v>
      </c>
      <c r="G8" s="129" t="s">
        <v>2001</v>
      </c>
      <c r="H8" s="134">
        <v>3</v>
      </c>
      <c r="I8" s="134">
        <v>3</v>
      </c>
    </row>
    <row r="9" spans="1:9" ht="30" customHeight="1" x14ac:dyDescent="0.3">
      <c r="A9" s="111">
        <f t="shared" si="0"/>
        <v>6</v>
      </c>
      <c r="B9" s="125"/>
      <c r="C9" s="126" t="s">
        <v>2002</v>
      </c>
      <c r="D9" s="113"/>
      <c r="E9" s="114" t="s">
        <v>251</v>
      </c>
      <c r="F9" s="114" t="s">
        <v>2096</v>
      </c>
      <c r="G9" s="129" t="s">
        <v>2003</v>
      </c>
      <c r="H9" s="134">
        <v>3</v>
      </c>
      <c r="I9" s="134">
        <v>3</v>
      </c>
    </row>
    <row r="10" spans="1:9" ht="30" customHeight="1" x14ac:dyDescent="0.3">
      <c r="A10" s="111">
        <f t="shared" si="0"/>
        <v>7</v>
      </c>
      <c r="B10" s="125"/>
      <c r="C10" s="126" t="s">
        <v>2004</v>
      </c>
      <c r="D10" s="113"/>
      <c r="E10" s="114" t="s">
        <v>251</v>
      </c>
      <c r="F10" s="114" t="s">
        <v>2096</v>
      </c>
      <c r="G10" s="129" t="s">
        <v>2005</v>
      </c>
      <c r="H10" s="134">
        <v>3</v>
      </c>
      <c r="I10" s="134">
        <v>3</v>
      </c>
    </row>
    <row r="11" spans="1:9" ht="30" customHeight="1" x14ac:dyDescent="0.3">
      <c r="A11" s="111">
        <f t="shared" si="0"/>
        <v>8</v>
      </c>
      <c r="B11" s="125"/>
      <c r="C11" s="126" t="s">
        <v>2006</v>
      </c>
      <c r="D11" s="113"/>
      <c r="E11" s="114" t="s">
        <v>251</v>
      </c>
      <c r="F11" s="114" t="s">
        <v>2096</v>
      </c>
      <c r="G11" s="129" t="s">
        <v>2007</v>
      </c>
      <c r="H11" s="134">
        <v>3</v>
      </c>
      <c r="I11" s="134">
        <v>3</v>
      </c>
    </row>
    <row r="12" spans="1:9" ht="30" customHeight="1" x14ac:dyDescent="0.3">
      <c r="A12" s="111">
        <f t="shared" si="0"/>
        <v>9</v>
      </c>
      <c r="B12" s="125"/>
      <c r="C12" s="126" t="s">
        <v>2008</v>
      </c>
      <c r="D12" s="113"/>
      <c r="E12" s="114" t="s">
        <v>251</v>
      </c>
      <c r="F12" s="114" t="s">
        <v>2096</v>
      </c>
      <c r="G12" s="129" t="s">
        <v>2009</v>
      </c>
      <c r="H12" s="134">
        <v>3</v>
      </c>
      <c r="I12" s="134">
        <v>3</v>
      </c>
    </row>
    <row r="13" spans="1:9" ht="30" customHeight="1" x14ac:dyDescent="0.3">
      <c r="A13" s="111">
        <f t="shared" si="0"/>
        <v>10</v>
      </c>
      <c r="B13" s="125"/>
      <c r="C13" s="126" t="s">
        <v>2010</v>
      </c>
      <c r="D13" s="113"/>
      <c r="E13" s="114" t="s">
        <v>251</v>
      </c>
      <c r="F13" s="114" t="s">
        <v>2096</v>
      </c>
      <c r="G13" s="129" t="s">
        <v>2011</v>
      </c>
      <c r="H13" s="134">
        <v>3</v>
      </c>
      <c r="I13" s="134">
        <v>3</v>
      </c>
    </row>
    <row r="14" spans="1:9" ht="30" customHeight="1" x14ac:dyDescent="0.3">
      <c r="A14" s="111">
        <f t="shared" si="0"/>
        <v>11</v>
      </c>
      <c r="B14" s="125"/>
      <c r="C14" s="126" t="s">
        <v>2012</v>
      </c>
      <c r="D14" s="113"/>
      <c r="E14" s="114" t="s">
        <v>251</v>
      </c>
      <c r="F14" s="114" t="s">
        <v>2096</v>
      </c>
      <c r="G14" s="129" t="s">
        <v>2013</v>
      </c>
      <c r="H14" s="134">
        <v>3</v>
      </c>
      <c r="I14" s="134">
        <v>3</v>
      </c>
    </row>
    <row r="15" spans="1:9" ht="30" customHeight="1" x14ac:dyDescent="0.3">
      <c r="A15" s="111">
        <f t="shared" si="0"/>
        <v>12</v>
      </c>
      <c r="B15" s="125"/>
      <c r="C15" s="126" t="s">
        <v>2014</v>
      </c>
      <c r="D15" s="113"/>
      <c r="E15" s="114" t="s">
        <v>251</v>
      </c>
      <c r="F15" s="114" t="s">
        <v>2096</v>
      </c>
      <c r="G15" s="129" t="s">
        <v>2015</v>
      </c>
      <c r="H15" s="134">
        <v>3</v>
      </c>
      <c r="I15" s="134">
        <v>3</v>
      </c>
    </row>
    <row r="16" spans="1:9" ht="30" customHeight="1" x14ac:dyDescent="0.3">
      <c r="A16" s="111">
        <f t="shared" si="0"/>
        <v>13</v>
      </c>
      <c r="B16" s="125"/>
      <c r="C16" s="126" t="s">
        <v>2016</v>
      </c>
      <c r="D16" s="113"/>
      <c r="E16" s="114" t="s">
        <v>251</v>
      </c>
      <c r="F16" s="114" t="s">
        <v>2096</v>
      </c>
      <c r="G16" s="129" t="s">
        <v>2017</v>
      </c>
      <c r="H16" s="134">
        <v>3</v>
      </c>
      <c r="I16" s="134">
        <v>3</v>
      </c>
    </row>
    <row r="17" spans="1:9" ht="30" customHeight="1" x14ac:dyDescent="0.3">
      <c r="A17" s="111">
        <f t="shared" si="0"/>
        <v>14</v>
      </c>
      <c r="B17" s="125"/>
      <c r="C17" s="126" t="s">
        <v>2018</v>
      </c>
      <c r="D17" s="113"/>
      <c r="E17" s="114" t="s">
        <v>251</v>
      </c>
      <c r="F17" s="114" t="s">
        <v>2096</v>
      </c>
      <c r="G17" s="129" t="s">
        <v>2019</v>
      </c>
      <c r="H17" s="134">
        <v>3</v>
      </c>
      <c r="I17" s="134">
        <v>3</v>
      </c>
    </row>
    <row r="18" spans="1:9" ht="30" customHeight="1" x14ac:dyDescent="0.3">
      <c r="A18" s="111">
        <f t="shared" si="0"/>
        <v>15</v>
      </c>
      <c r="B18" s="125"/>
      <c r="C18" s="126" t="s">
        <v>2020</v>
      </c>
      <c r="D18" s="113"/>
      <c r="E18" s="114" t="s">
        <v>251</v>
      </c>
      <c r="F18" s="114" t="s">
        <v>2096</v>
      </c>
      <c r="G18" s="129" t="s">
        <v>2021</v>
      </c>
      <c r="H18" s="134">
        <v>3</v>
      </c>
      <c r="I18" s="134">
        <v>3</v>
      </c>
    </row>
    <row r="19" spans="1:9" ht="30" customHeight="1" x14ac:dyDescent="0.3">
      <c r="A19" s="111">
        <f t="shared" si="0"/>
        <v>16</v>
      </c>
      <c r="B19" s="125"/>
      <c r="C19" s="126" t="s">
        <v>2022</v>
      </c>
      <c r="D19" s="113"/>
      <c r="E19" s="114" t="s">
        <v>251</v>
      </c>
      <c r="F19" s="114" t="s">
        <v>2096</v>
      </c>
      <c r="G19" s="129" t="s">
        <v>2023</v>
      </c>
      <c r="H19" s="134">
        <v>3</v>
      </c>
      <c r="I19" s="134">
        <v>3</v>
      </c>
    </row>
    <row r="20" spans="1:9" ht="30" customHeight="1" x14ac:dyDescent="0.3">
      <c r="A20" s="111">
        <f t="shared" si="0"/>
        <v>17</v>
      </c>
      <c r="B20" s="125"/>
      <c r="C20" s="158" t="s">
        <v>1992</v>
      </c>
      <c r="D20" s="113"/>
      <c r="E20" s="114" t="s">
        <v>251</v>
      </c>
      <c r="F20" s="114" t="s">
        <v>255</v>
      </c>
      <c r="G20" s="129" t="s">
        <v>1993</v>
      </c>
      <c r="H20" s="134">
        <v>3</v>
      </c>
      <c r="I20" s="134">
        <v>3</v>
      </c>
    </row>
    <row r="21" spans="1:9" ht="30" customHeight="1" x14ac:dyDescent="0.3">
      <c r="A21" s="111">
        <f t="shared" si="0"/>
        <v>18</v>
      </c>
      <c r="B21" s="125"/>
      <c r="C21" s="126" t="s">
        <v>1994</v>
      </c>
      <c r="D21" s="113"/>
      <c r="E21" s="114" t="s">
        <v>251</v>
      </c>
      <c r="F21" s="114" t="s">
        <v>255</v>
      </c>
      <c r="G21" s="129" t="s">
        <v>1995</v>
      </c>
      <c r="H21" s="134">
        <v>3</v>
      </c>
      <c r="I21" s="134">
        <v>3</v>
      </c>
    </row>
    <row r="22" spans="1:9" ht="30" customHeight="1" x14ac:dyDescent="0.3">
      <c r="A22" s="111">
        <f t="shared" si="0"/>
        <v>19</v>
      </c>
      <c r="B22" s="125"/>
      <c r="C22" s="126" t="s">
        <v>1996</v>
      </c>
      <c r="D22" s="113"/>
      <c r="E22" s="114" t="s">
        <v>251</v>
      </c>
      <c r="F22" s="114" t="s">
        <v>255</v>
      </c>
      <c r="G22" s="129" t="s">
        <v>1997</v>
      </c>
      <c r="H22" s="134">
        <v>3</v>
      </c>
      <c r="I22" s="134">
        <v>3</v>
      </c>
    </row>
    <row r="23" spans="1:9" ht="30" customHeight="1" x14ac:dyDescent="0.3">
      <c r="A23" s="111">
        <f t="shared" si="0"/>
        <v>20</v>
      </c>
      <c r="B23" s="125"/>
      <c r="C23" s="126" t="s">
        <v>1998</v>
      </c>
      <c r="D23" s="113"/>
      <c r="E23" s="114" t="s">
        <v>251</v>
      </c>
      <c r="F23" s="114" t="s">
        <v>255</v>
      </c>
      <c r="G23" s="129" t="s">
        <v>1999</v>
      </c>
      <c r="H23" s="134">
        <v>3</v>
      </c>
      <c r="I23" s="134">
        <v>3</v>
      </c>
    </row>
    <row r="24" spans="1:9" ht="30" customHeight="1" x14ac:dyDescent="0.3">
      <c r="A24" s="111">
        <f t="shared" si="0"/>
        <v>21</v>
      </c>
      <c r="B24" s="125"/>
      <c r="C24" s="126" t="s">
        <v>2000</v>
      </c>
      <c r="D24" s="113"/>
      <c r="E24" s="114" t="s">
        <v>251</v>
      </c>
      <c r="F24" s="114" t="s">
        <v>255</v>
      </c>
      <c r="G24" s="129" t="s">
        <v>2001</v>
      </c>
      <c r="H24" s="134">
        <v>3</v>
      </c>
      <c r="I24" s="134">
        <v>3</v>
      </c>
    </row>
    <row r="25" spans="1:9" ht="30" customHeight="1" x14ac:dyDescent="0.3">
      <c r="A25" s="111">
        <f t="shared" si="0"/>
        <v>22</v>
      </c>
      <c r="B25" s="125"/>
      <c r="C25" s="126" t="s">
        <v>2002</v>
      </c>
      <c r="D25" s="113"/>
      <c r="E25" s="114" t="s">
        <v>251</v>
      </c>
      <c r="F25" s="114" t="s">
        <v>255</v>
      </c>
      <c r="G25" s="129" t="s">
        <v>2003</v>
      </c>
      <c r="H25" s="134">
        <v>3</v>
      </c>
      <c r="I25" s="134">
        <v>3</v>
      </c>
    </row>
    <row r="26" spans="1:9" ht="30" customHeight="1" x14ac:dyDescent="0.3">
      <c r="A26" s="111">
        <f t="shared" si="0"/>
        <v>23</v>
      </c>
      <c r="B26" s="125"/>
      <c r="C26" s="126" t="s">
        <v>2004</v>
      </c>
      <c r="D26" s="113"/>
      <c r="E26" s="114" t="s">
        <v>251</v>
      </c>
      <c r="F26" s="114" t="s">
        <v>255</v>
      </c>
      <c r="G26" s="129" t="s">
        <v>2005</v>
      </c>
      <c r="H26" s="134">
        <v>3</v>
      </c>
      <c r="I26" s="134">
        <v>3</v>
      </c>
    </row>
    <row r="27" spans="1:9" ht="30" customHeight="1" x14ac:dyDescent="0.3">
      <c r="A27" s="111">
        <f t="shared" si="0"/>
        <v>24</v>
      </c>
      <c r="B27" s="125"/>
      <c r="C27" s="126" t="s">
        <v>2006</v>
      </c>
      <c r="D27" s="113"/>
      <c r="E27" s="114" t="s">
        <v>251</v>
      </c>
      <c r="F27" s="114" t="s">
        <v>255</v>
      </c>
      <c r="G27" s="129" t="s">
        <v>2007</v>
      </c>
      <c r="H27" s="134">
        <v>3</v>
      </c>
      <c r="I27" s="134">
        <v>3</v>
      </c>
    </row>
    <row r="28" spans="1:9" ht="30" customHeight="1" x14ac:dyDescent="0.3">
      <c r="A28" s="111">
        <f t="shared" si="0"/>
        <v>25</v>
      </c>
      <c r="B28" s="125"/>
      <c r="C28" s="126" t="s">
        <v>2008</v>
      </c>
      <c r="D28" s="113"/>
      <c r="E28" s="114" t="s">
        <v>251</v>
      </c>
      <c r="F28" s="114" t="s">
        <v>255</v>
      </c>
      <c r="G28" s="129" t="s">
        <v>2009</v>
      </c>
      <c r="H28" s="134">
        <v>3</v>
      </c>
      <c r="I28" s="134">
        <v>3</v>
      </c>
    </row>
    <row r="29" spans="1:9" ht="30" customHeight="1" x14ac:dyDescent="0.3">
      <c r="A29" s="111">
        <f t="shared" si="0"/>
        <v>26</v>
      </c>
      <c r="B29" s="125"/>
      <c r="C29" s="126" t="s">
        <v>2010</v>
      </c>
      <c r="D29" s="113"/>
      <c r="E29" s="114" t="s">
        <v>251</v>
      </c>
      <c r="F29" s="114" t="s">
        <v>255</v>
      </c>
      <c r="G29" s="129" t="s">
        <v>2011</v>
      </c>
      <c r="H29" s="134">
        <v>3</v>
      </c>
      <c r="I29" s="134">
        <v>3</v>
      </c>
    </row>
    <row r="30" spans="1:9" ht="30" customHeight="1" x14ac:dyDescent="0.3">
      <c r="A30" s="111">
        <f t="shared" si="0"/>
        <v>27</v>
      </c>
      <c r="B30" s="125"/>
      <c r="C30" s="126" t="s">
        <v>2012</v>
      </c>
      <c r="D30" s="113"/>
      <c r="E30" s="114" t="s">
        <v>251</v>
      </c>
      <c r="F30" s="114" t="s">
        <v>255</v>
      </c>
      <c r="G30" s="129" t="s">
        <v>2013</v>
      </c>
      <c r="H30" s="134">
        <v>3</v>
      </c>
      <c r="I30" s="134">
        <v>3</v>
      </c>
    </row>
    <row r="31" spans="1:9" ht="30" customHeight="1" x14ac:dyDescent="0.3">
      <c r="A31" s="111">
        <f t="shared" si="0"/>
        <v>28</v>
      </c>
      <c r="B31" s="125"/>
      <c r="C31" s="126" t="s">
        <v>2014</v>
      </c>
      <c r="D31" s="113"/>
      <c r="E31" s="114" t="s">
        <v>251</v>
      </c>
      <c r="F31" s="114" t="s">
        <v>255</v>
      </c>
      <c r="G31" s="129" t="s">
        <v>2015</v>
      </c>
      <c r="H31" s="134">
        <v>3</v>
      </c>
      <c r="I31" s="134">
        <v>3</v>
      </c>
    </row>
    <row r="32" spans="1:9" ht="30" customHeight="1" x14ac:dyDescent="0.3">
      <c r="A32" s="111">
        <f t="shared" si="0"/>
        <v>29</v>
      </c>
      <c r="B32" s="125"/>
      <c r="C32" s="126" t="s">
        <v>2016</v>
      </c>
      <c r="D32" s="113"/>
      <c r="E32" s="114" t="s">
        <v>251</v>
      </c>
      <c r="F32" s="114" t="s">
        <v>255</v>
      </c>
      <c r="G32" s="129" t="s">
        <v>2017</v>
      </c>
      <c r="H32" s="134">
        <v>3</v>
      </c>
      <c r="I32" s="134">
        <v>3</v>
      </c>
    </row>
    <row r="33" spans="1:9" ht="30" customHeight="1" x14ac:dyDescent="0.3">
      <c r="A33" s="111">
        <f t="shared" si="0"/>
        <v>30</v>
      </c>
      <c r="B33" s="125"/>
      <c r="C33" s="126" t="s">
        <v>2018</v>
      </c>
      <c r="D33" s="113"/>
      <c r="E33" s="114" t="s">
        <v>251</v>
      </c>
      <c r="F33" s="114" t="s">
        <v>255</v>
      </c>
      <c r="G33" s="129" t="s">
        <v>2019</v>
      </c>
      <c r="H33" s="134">
        <v>3</v>
      </c>
      <c r="I33" s="134">
        <v>3</v>
      </c>
    </row>
    <row r="34" spans="1:9" ht="30" customHeight="1" x14ac:dyDescent="0.3">
      <c r="A34" s="111">
        <f t="shared" si="0"/>
        <v>31</v>
      </c>
      <c r="B34" s="125"/>
      <c r="C34" s="126" t="s">
        <v>2020</v>
      </c>
      <c r="D34" s="113"/>
      <c r="E34" s="114" t="s">
        <v>251</v>
      </c>
      <c r="F34" s="114" t="s">
        <v>255</v>
      </c>
      <c r="G34" s="129" t="s">
        <v>2021</v>
      </c>
      <c r="H34" s="134">
        <v>3</v>
      </c>
      <c r="I34" s="134">
        <v>3</v>
      </c>
    </row>
    <row r="35" spans="1:9" ht="30" customHeight="1" x14ac:dyDescent="0.3">
      <c r="A35" s="111">
        <f t="shared" si="0"/>
        <v>32</v>
      </c>
      <c r="B35" s="125"/>
      <c r="C35" s="126" t="s">
        <v>2022</v>
      </c>
      <c r="D35" s="113"/>
      <c r="E35" s="114" t="s">
        <v>251</v>
      </c>
      <c r="F35" s="114" t="s">
        <v>255</v>
      </c>
      <c r="G35" s="129" t="s">
        <v>2023</v>
      </c>
      <c r="H35" s="134">
        <v>3</v>
      </c>
      <c r="I35" s="134">
        <v>3</v>
      </c>
    </row>
    <row r="36" spans="1:9" ht="30" customHeight="1" x14ac:dyDescent="0.3">
      <c r="A36" s="111">
        <f t="shared" si="0"/>
        <v>33</v>
      </c>
      <c r="B36" s="125"/>
      <c r="C36" s="158" t="s">
        <v>1992</v>
      </c>
      <c r="D36" s="113"/>
      <c r="E36" s="114" t="s">
        <v>251</v>
      </c>
      <c r="F36" s="114" t="s">
        <v>257</v>
      </c>
      <c r="G36" s="129" t="s">
        <v>1993</v>
      </c>
      <c r="H36" s="134">
        <v>3</v>
      </c>
      <c r="I36" s="134">
        <v>3</v>
      </c>
    </row>
    <row r="37" spans="1:9" ht="30" customHeight="1" x14ac:dyDescent="0.3">
      <c r="A37" s="111">
        <f t="shared" si="0"/>
        <v>34</v>
      </c>
      <c r="B37" s="125"/>
      <c r="C37" s="126" t="s">
        <v>1994</v>
      </c>
      <c r="D37" s="113"/>
      <c r="E37" s="114" t="s">
        <v>253</v>
      </c>
      <c r="F37" s="114" t="s">
        <v>257</v>
      </c>
      <c r="G37" s="129" t="s">
        <v>1995</v>
      </c>
      <c r="H37" s="134">
        <v>3</v>
      </c>
      <c r="I37" s="134">
        <v>3</v>
      </c>
    </row>
    <row r="38" spans="1:9" ht="30" customHeight="1" x14ac:dyDescent="0.3">
      <c r="A38" s="111">
        <f t="shared" si="0"/>
        <v>35</v>
      </c>
      <c r="B38" s="125"/>
      <c r="C38" s="126" t="s">
        <v>1996</v>
      </c>
      <c r="D38" s="113"/>
      <c r="E38" s="114" t="s">
        <v>253</v>
      </c>
      <c r="F38" s="114" t="s">
        <v>257</v>
      </c>
      <c r="G38" s="129" t="s">
        <v>1997</v>
      </c>
      <c r="H38" s="134">
        <v>3</v>
      </c>
      <c r="I38" s="134">
        <v>3</v>
      </c>
    </row>
    <row r="39" spans="1:9" ht="30" customHeight="1" x14ac:dyDescent="0.3">
      <c r="A39" s="111">
        <f t="shared" si="0"/>
        <v>36</v>
      </c>
      <c r="B39" s="125"/>
      <c r="C39" s="126" t="s">
        <v>1998</v>
      </c>
      <c r="D39" s="113"/>
      <c r="E39" s="114" t="s">
        <v>253</v>
      </c>
      <c r="F39" s="114" t="s">
        <v>257</v>
      </c>
      <c r="G39" s="129" t="s">
        <v>1999</v>
      </c>
      <c r="H39" s="134">
        <v>3</v>
      </c>
      <c r="I39" s="134">
        <v>3</v>
      </c>
    </row>
    <row r="40" spans="1:9" ht="30" customHeight="1" x14ac:dyDescent="0.3">
      <c r="A40" s="111">
        <f t="shared" si="0"/>
        <v>37</v>
      </c>
      <c r="B40" s="125"/>
      <c r="C40" s="126" t="s">
        <v>2000</v>
      </c>
      <c r="D40" s="113"/>
      <c r="E40" s="114" t="s">
        <v>253</v>
      </c>
      <c r="F40" s="114" t="s">
        <v>257</v>
      </c>
      <c r="G40" s="129" t="s">
        <v>2001</v>
      </c>
      <c r="H40" s="134">
        <v>3</v>
      </c>
      <c r="I40" s="134">
        <v>3</v>
      </c>
    </row>
    <row r="41" spans="1:9" ht="30" customHeight="1" x14ac:dyDescent="0.3">
      <c r="A41" s="111">
        <f t="shared" si="0"/>
        <v>38</v>
      </c>
      <c r="B41" s="125"/>
      <c r="C41" s="126" t="s">
        <v>2002</v>
      </c>
      <c r="D41" s="113"/>
      <c r="E41" s="114" t="s">
        <v>253</v>
      </c>
      <c r="F41" s="114" t="s">
        <v>257</v>
      </c>
      <c r="G41" s="129" t="s">
        <v>2003</v>
      </c>
      <c r="H41" s="134">
        <v>3</v>
      </c>
      <c r="I41" s="134">
        <v>3</v>
      </c>
    </row>
    <row r="42" spans="1:9" ht="30" customHeight="1" x14ac:dyDescent="0.3">
      <c r="A42" s="111">
        <f t="shared" si="0"/>
        <v>39</v>
      </c>
      <c r="B42" s="125"/>
      <c r="C42" s="126" t="s">
        <v>2004</v>
      </c>
      <c r="D42" s="113"/>
      <c r="E42" s="114" t="s">
        <v>253</v>
      </c>
      <c r="F42" s="114" t="s">
        <v>257</v>
      </c>
      <c r="G42" s="129" t="s">
        <v>2005</v>
      </c>
      <c r="H42" s="134">
        <v>3</v>
      </c>
      <c r="I42" s="134">
        <v>3</v>
      </c>
    </row>
    <row r="43" spans="1:9" ht="30" customHeight="1" x14ac:dyDescent="0.3">
      <c r="A43" s="111">
        <f t="shared" si="0"/>
        <v>40</v>
      </c>
      <c r="B43" s="125"/>
      <c r="C43" s="126" t="s">
        <v>2006</v>
      </c>
      <c r="D43" s="113"/>
      <c r="E43" s="114" t="s">
        <v>253</v>
      </c>
      <c r="F43" s="114" t="s">
        <v>257</v>
      </c>
      <c r="G43" s="129" t="s">
        <v>2007</v>
      </c>
      <c r="H43" s="134">
        <v>3</v>
      </c>
      <c r="I43" s="134">
        <v>3</v>
      </c>
    </row>
    <row r="44" spans="1:9" ht="30" customHeight="1" x14ac:dyDescent="0.3">
      <c r="A44" s="111">
        <f t="shared" si="0"/>
        <v>41</v>
      </c>
      <c r="B44" s="125"/>
      <c r="C44" s="126" t="s">
        <v>2008</v>
      </c>
      <c r="D44" s="113"/>
      <c r="E44" s="114" t="s">
        <v>253</v>
      </c>
      <c r="F44" s="114" t="s">
        <v>257</v>
      </c>
      <c r="G44" s="129" t="s">
        <v>2009</v>
      </c>
      <c r="H44" s="134">
        <v>3</v>
      </c>
      <c r="I44" s="134">
        <v>3</v>
      </c>
    </row>
    <row r="45" spans="1:9" ht="30" customHeight="1" x14ac:dyDescent="0.3">
      <c r="A45" s="111">
        <f t="shared" si="0"/>
        <v>42</v>
      </c>
      <c r="B45" s="125"/>
      <c r="C45" s="126" t="s">
        <v>2010</v>
      </c>
      <c r="D45" s="113"/>
      <c r="E45" s="114" t="s">
        <v>253</v>
      </c>
      <c r="F45" s="114" t="s">
        <v>257</v>
      </c>
      <c r="G45" s="129" t="s">
        <v>2011</v>
      </c>
      <c r="H45" s="134">
        <v>3</v>
      </c>
      <c r="I45" s="134">
        <v>3</v>
      </c>
    </row>
    <row r="46" spans="1:9" ht="30" customHeight="1" x14ac:dyDescent="0.3">
      <c r="A46" s="111">
        <f t="shared" si="0"/>
        <v>43</v>
      </c>
      <c r="B46" s="125"/>
      <c r="C46" s="126" t="s">
        <v>2012</v>
      </c>
      <c r="D46" s="113"/>
      <c r="E46" s="114" t="s">
        <v>253</v>
      </c>
      <c r="F46" s="114" t="s">
        <v>257</v>
      </c>
      <c r="G46" s="129" t="s">
        <v>2013</v>
      </c>
      <c r="H46" s="134">
        <v>3</v>
      </c>
      <c r="I46" s="134">
        <v>3</v>
      </c>
    </row>
    <row r="47" spans="1:9" ht="30" customHeight="1" x14ac:dyDescent="0.3">
      <c r="A47" s="111">
        <f t="shared" si="0"/>
        <v>44</v>
      </c>
      <c r="B47" s="125"/>
      <c r="C47" s="126" t="s">
        <v>2014</v>
      </c>
      <c r="D47" s="113"/>
      <c r="E47" s="114" t="s">
        <v>253</v>
      </c>
      <c r="F47" s="114" t="s">
        <v>257</v>
      </c>
      <c r="G47" s="129" t="s">
        <v>2015</v>
      </c>
      <c r="H47" s="134">
        <v>3</v>
      </c>
      <c r="I47" s="134">
        <v>3</v>
      </c>
    </row>
    <row r="48" spans="1:9" ht="30" customHeight="1" x14ac:dyDescent="0.3">
      <c r="A48" s="111">
        <f t="shared" si="0"/>
        <v>45</v>
      </c>
      <c r="B48" s="125"/>
      <c r="C48" s="126" t="s">
        <v>2016</v>
      </c>
      <c r="D48" s="113"/>
      <c r="E48" s="114" t="s">
        <v>253</v>
      </c>
      <c r="F48" s="114" t="s">
        <v>257</v>
      </c>
      <c r="G48" s="129" t="s">
        <v>2017</v>
      </c>
      <c r="H48" s="134">
        <v>3</v>
      </c>
      <c r="I48" s="134">
        <v>3</v>
      </c>
    </row>
    <row r="49" spans="1:9" ht="30" customHeight="1" x14ac:dyDescent="0.3">
      <c r="A49" s="111">
        <f t="shared" si="0"/>
        <v>46</v>
      </c>
      <c r="B49" s="125"/>
      <c r="C49" s="126" t="s">
        <v>2018</v>
      </c>
      <c r="D49" s="113"/>
      <c r="E49" s="114" t="s">
        <v>253</v>
      </c>
      <c r="F49" s="114" t="s">
        <v>257</v>
      </c>
      <c r="G49" s="129" t="s">
        <v>2019</v>
      </c>
      <c r="H49" s="134">
        <v>3</v>
      </c>
      <c r="I49" s="134">
        <v>3</v>
      </c>
    </row>
    <row r="50" spans="1:9" ht="30" customHeight="1" x14ac:dyDescent="0.3">
      <c r="A50" s="111">
        <f t="shared" si="0"/>
        <v>47</v>
      </c>
      <c r="B50" s="125"/>
      <c r="C50" s="126" t="s">
        <v>2020</v>
      </c>
      <c r="D50" s="113"/>
      <c r="E50" s="114" t="s">
        <v>253</v>
      </c>
      <c r="F50" s="114" t="s">
        <v>257</v>
      </c>
      <c r="G50" s="129" t="s">
        <v>2021</v>
      </c>
      <c r="H50" s="134">
        <v>3</v>
      </c>
      <c r="I50" s="134">
        <v>3</v>
      </c>
    </row>
    <row r="51" spans="1:9" ht="30" customHeight="1" x14ac:dyDescent="0.3">
      <c r="A51" s="111">
        <f t="shared" si="0"/>
        <v>48</v>
      </c>
      <c r="B51" s="125"/>
      <c r="C51" s="126" t="s">
        <v>2022</v>
      </c>
      <c r="D51" s="113"/>
      <c r="E51" s="114" t="s">
        <v>251</v>
      </c>
      <c r="F51" s="114" t="s">
        <v>257</v>
      </c>
      <c r="G51" s="129" t="s">
        <v>2023</v>
      </c>
      <c r="H51" s="134">
        <v>3</v>
      </c>
      <c r="I51" s="134">
        <v>3</v>
      </c>
    </row>
    <row r="52" spans="1:9" ht="30" customHeight="1" x14ac:dyDescent="0.3">
      <c r="A52" s="111"/>
      <c r="B52" s="125"/>
      <c r="C52" s="125"/>
      <c r="D52" s="113"/>
      <c r="E52" s="114"/>
      <c r="F52" s="114"/>
      <c r="G52" s="114"/>
      <c r="H52" s="115"/>
      <c r="I52" s="115"/>
    </row>
    <row r="53" spans="1:9" ht="30" customHeight="1" x14ac:dyDescent="0.3">
      <c r="A53" s="111"/>
      <c r="B53" s="125"/>
      <c r="C53" s="125"/>
      <c r="D53" s="113"/>
      <c r="E53" s="114"/>
      <c r="F53" s="114"/>
      <c r="G53" s="114"/>
      <c r="H53" s="115"/>
      <c r="I53" s="115"/>
    </row>
    <row r="54" spans="1:9" ht="30" customHeight="1" x14ac:dyDescent="0.3">
      <c r="A54" s="111"/>
      <c r="B54" s="125"/>
      <c r="C54" s="125"/>
      <c r="D54" s="113"/>
      <c r="E54" s="114"/>
      <c r="F54" s="114"/>
      <c r="G54" s="114"/>
      <c r="H54" s="115"/>
      <c r="I54" s="115"/>
    </row>
    <row r="55" spans="1:9" ht="30" customHeight="1" x14ac:dyDescent="0.3">
      <c r="A55" s="111"/>
      <c r="B55" s="125"/>
      <c r="C55" s="125"/>
      <c r="D55" s="113"/>
      <c r="E55" s="114"/>
      <c r="F55" s="114"/>
      <c r="G55" s="114"/>
      <c r="H55" s="115"/>
      <c r="I55" s="115"/>
    </row>
    <row r="56" spans="1:9" ht="30" customHeight="1" x14ac:dyDescent="0.3">
      <c r="A56" s="111"/>
      <c r="B56" s="125"/>
      <c r="C56" s="125"/>
      <c r="D56" s="113"/>
      <c r="E56" s="114"/>
      <c r="F56" s="114"/>
      <c r="G56" s="114"/>
      <c r="H56" s="115"/>
      <c r="I56" s="115"/>
    </row>
    <row r="57" spans="1:9" ht="30" customHeight="1" x14ac:dyDescent="0.3">
      <c r="A57" s="111"/>
      <c r="B57" s="125"/>
      <c r="C57" s="125"/>
      <c r="D57" s="113"/>
      <c r="E57" s="114"/>
      <c r="F57" s="114"/>
      <c r="G57" s="114"/>
      <c r="H57" s="115"/>
      <c r="I57" s="115"/>
    </row>
    <row r="58" spans="1:9" ht="30" customHeight="1" x14ac:dyDescent="0.3">
      <c r="A58" s="111"/>
      <c r="B58" s="125"/>
      <c r="C58" s="125"/>
      <c r="D58" s="113"/>
      <c r="E58" s="114"/>
      <c r="F58" s="114"/>
      <c r="G58" s="114"/>
      <c r="H58" s="115"/>
      <c r="I58" s="115"/>
    </row>
    <row r="59" spans="1:9" ht="30" customHeight="1" x14ac:dyDescent="0.3">
      <c r="A59" s="111"/>
      <c r="B59" s="125"/>
      <c r="C59" s="125"/>
      <c r="D59" s="113"/>
      <c r="E59" s="114"/>
      <c r="F59" s="114"/>
      <c r="G59" s="114"/>
      <c r="H59" s="115"/>
      <c r="I59" s="115"/>
    </row>
    <row r="60" spans="1:9" ht="30" customHeight="1" x14ac:dyDescent="0.3">
      <c r="A60" s="111"/>
      <c r="B60" s="125"/>
      <c r="C60" s="125"/>
      <c r="D60" s="113"/>
      <c r="E60" s="114"/>
      <c r="F60" s="114"/>
      <c r="G60" s="114"/>
      <c r="H60" s="115"/>
      <c r="I60" s="115"/>
    </row>
    <row r="61" spans="1:9" ht="30" customHeight="1" x14ac:dyDescent="0.3">
      <c r="A61" s="111"/>
      <c r="B61" s="125"/>
      <c r="C61" s="125"/>
      <c r="D61" s="113"/>
      <c r="E61" s="114"/>
      <c r="F61" s="114"/>
      <c r="G61" s="114"/>
      <c r="H61" s="115"/>
      <c r="I61" s="115"/>
    </row>
    <row r="62" spans="1:9" ht="30" customHeight="1" x14ac:dyDescent="0.3">
      <c r="A62" s="111"/>
      <c r="B62" s="125"/>
      <c r="C62" s="125"/>
      <c r="D62" s="113"/>
      <c r="E62" s="114"/>
      <c r="F62" s="114"/>
      <c r="G62" s="114"/>
      <c r="H62" s="115"/>
      <c r="I62" s="115"/>
    </row>
    <row r="63" spans="1:9" ht="30" customHeight="1" x14ac:dyDescent="0.3">
      <c r="A63" s="111"/>
      <c r="B63" s="125"/>
      <c r="C63" s="125"/>
      <c r="D63" s="113"/>
      <c r="E63" s="114"/>
      <c r="F63" s="114"/>
      <c r="G63" s="114"/>
      <c r="H63" s="115"/>
      <c r="I63" s="115"/>
    </row>
    <row r="64" spans="1:9" ht="30" customHeight="1" x14ac:dyDescent="0.3">
      <c r="A64" s="111"/>
      <c r="B64" s="125"/>
      <c r="C64" s="125"/>
      <c r="D64" s="113"/>
      <c r="E64" s="114"/>
      <c r="F64" s="114"/>
      <c r="G64" s="114"/>
      <c r="H64" s="115"/>
      <c r="I64" s="115"/>
    </row>
    <row r="65" spans="1:9" ht="30" customHeight="1" x14ac:dyDescent="0.3">
      <c r="A65" s="111"/>
      <c r="B65" s="125"/>
      <c r="C65" s="125"/>
      <c r="D65" s="113"/>
      <c r="E65" s="114"/>
      <c r="F65" s="114"/>
      <c r="G65" s="114"/>
      <c r="H65" s="115"/>
      <c r="I65" s="115"/>
    </row>
    <row r="66" spans="1:9" ht="30" customHeight="1" x14ac:dyDescent="0.3">
      <c r="A66" s="111"/>
      <c r="B66" s="125"/>
      <c r="C66" s="125"/>
      <c r="D66" s="113"/>
      <c r="E66" s="114"/>
      <c r="F66" s="114"/>
      <c r="G66" s="114"/>
      <c r="H66" s="115"/>
      <c r="I66" s="115"/>
    </row>
    <row r="67" spans="1:9" ht="30" customHeight="1" x14ac:dyDescent="0.3">
      <c r="A67" s="111"/>
      <c r="B67" s="125"/>
      <c r="C67" s="125"/>
      <c r="D67" s="113"/>
      <c r="E67" s="114"/>
      <c r="F67" s="114"/>
      <c r="G67" s="114"/>
      <c r="H67" s="115"/>
      <c r="I67" s="115"/>
    </row>
    <row r="68" spans="1:9" ht="30" customHeight="1" x14ac:dyDescent="0.3">
      <c r="A68" s="111"/>
      <c r="B68" s="125"/>
      <c r="C68" s="125"/>
      <c r="D68" s="113"/>
      <c r="E68" s="114"/>
      <c r="F68" s="114"/>
      <c r="G68" s="114"/>
      <c r="H68" s="115"/>
      <c r="I68" s="115"/>
    </row>
    <row r="69" spans="1:9" ht="30" customHeight="1" x14ac:dyDescent="0.3">
      <c r="A69" s="111"/>
      <c r="B69" s="125"/>
      <c r="C69" s="125"/>
      <c r="D69" s="113"/>
      <c r="E69" s="114"/>
      <c r="F69" s="114"/>
      <c r="G69" s="114"/>
      <c r="H69" s="115"/>
      <c r="I69" s="115"/>
    </row>
    <row r="70" spans="1:9" ht="30" customHeight="1" x14ac:dyDescent="0.3">
      <c r="A70" s="111"/>
      <c r="B70" s="125"/>
      <c r="C70" s="125"/>
      <c r="D70" s="113"/>
      <c r="E70" s="114"/>
      <c r="F70" s="114"/>
      <c r="G70" s="114"/>
      <c r="H70" s="115"/>
      <c r="I70" s="115"/>
    </row>
    <row r="71" spans="1:9" ht="30" customHeight="1" x14ac:dyDescent="0.3">
      <c r="A71" s="111"/>
      <c r="B71" s="125"/>
      <c r="C71" s="125"/>
      <c r="D71" s="113"/>
      <c r="E71" s="114"/>
      <c r="F71" s="114"/>
      <c r="G71" s="114"/>
      <c r="H71" s="115"/>
      <c r="I71" s="115"/>
    </row>
    <row r="72" spans="1:9" ht="30" customHeight="1" x14ac:dyDescent="0.3">
      <c r="A72" s="111"/>
      <c r="B72" s="125"/>
      <c r="C72" s="125"/>
      <c r="D72" s="113"/>
      <c r="E72" s="114"/>
      <c r="F72" s="114"/>
      <c r="G72" s="114"/>
      <c r="H72" s="115"/>
      <c r="I72" s="115"/>
    </row>
    <row r="73" spans="1:9" ht="30" customHeight="1" x14ac:dyDescent="0.3">
      <c r="A73" s="111"/>
      <c r="B73" s="125"/>
      <c r="C73" s="125"/>
      <c r="D73" s="113"/>
      <c r="E73" s="114"/>
      <c r="F73" s="114"/>
      <c r="G73" s="114"/>
      <c r="H73" s="115"/>
      <c r="I73" s="115"/>
    </row>
    <row r="74" spans="1:9" ht="30" customHeight="1" x14ac:dyDescent="0.3">
      <c r="A74" s="111"/>
      <c r="B74" s="125"/>
      <c r="C74" s="125"/>
      <c r="D74" s="113"/>
      <c r="E74" s="114"/>
      <c r="F74" s="114"/>
      <c r="G74" s="114"/>
      <c r="H74" s="115"/>
      <c r="I74" s="115"/>
    </row>
    <row r="75" spans="1:9" ht="30" customHeight="1" x14ac:dyDescent="0.3">
      <c r="A75" s="111"/>
      <c r="B75" s="125"/>
      <c r="C75" s="125"/>
      <c r="D75" s="113"/>
      <c r="E75" s="114"/>
      <c r="F75" s="114"/>
      <c r="G75" s="114"/>
      <c r="H75" s="115"/>
      <c r="I75" s="115"/>
    </row>
    <row r="76" spans="1:9" ht="30" customHeight="1" x14ac:dyDescent="0.3">
      <c r="A76" s="111"/>
      <c r="B76" s="125"/>
      <c r="C76" s="125"/>
      <c r="D76" s="113"/>
      <c r="E76" s="114"/>
      <c r="F76" s="114"/>
      <c r="G76" s="114"/>
      <c r="H76" s="115"/>
      <c r="I76" s="115"/>
    </row>
    <row r="77" spans="1:9" ht="30" customHeight="1" x14ac:dyDescent="0.3">
      <c r="A77" s="111"/>
      <c r="B77" s="125"/>
      <c r="C77" s="125"/>
      <c r="D77" s="113"/>
      <c r="E77" s="114"/>
      <c r="F77" s="114"/>
      <c r="G77" s="114"/>
      <c r="H77" s="115"/>
      <c r="I77" s="115"/>
    </row>
    <row r="78" spans="1:9" ht="30" customHeight="1" x14ac:dyDescent="0.3">
      <c r="A78" s="111"/>
      <c r="B78" s="125"/>
      <c r="C78" s="125"/>
      <c r="D78" s="113"/>
      <c r="E78" s="114"/>
      <c r="F78" s="114"/>
      <c r="G78" s="114"/>
      <c r="H78" s="115"/>
      <c r="I78" s="115"/>
    </row>
    <row r="79" spans="1:9" ht="30" customHeight="1" x14ac:dyDescent="0.3">
      <c r="A79" s="111"/>
      <c r="B79" s="125"/>
      <c r="C79" s="125"/>
      <c r="D79" s="113"/>
      <c r="E79" s="114"/>
      <c r="F79" s="114"/>
      <c r="G79" s="114"/>
      <c r="H79" s="115"/>
      <c r="I79" s="115"/>
    </row>
    <row r="80" spans="1:9" ht="30" customHeight="1" x14ac:dyDescent="0.3">
      <c r="A80" s="111"/>
      <c r="B80" s="125"/>
      <c r="C80" s="125"/>
      <c r="D80" s="113"/>
      <c r="E80" s="114"/>
      <c r="F80" s="114"/>
      <c r="G80" s="114"/>
      <c r="H80" s="115"/>
      <c r="I80" s="115"/>
    </row>
    <row r="81" spans="1:9" ht="30" customHeight="1" x14ac:dyDescent="0.3">
      <c r="A81" s="111"/>
      <c r="B81" s="125"/>
      <c r="C81" s="125"/>
      <c r="D81" s="113"/>
      <c r="E81" s="114"/>
      <c r="F81" s="114"/>
      <c r="G81" s="114"/>
      <c r="H81" s="115"/>
      <c r="I81" s="115"/>
    </row>
    <row r="82" spans="1:9" ht="30" customHeight="1" x14ac:dyDescent="0.3">
      <c r="A82" s="111"/>
      <c r="B82" s="125"/>
      <c r="C82" s="125"/>
      <c r="D82" s="113"/>
      <c r="E82" s="114"/>
      <c r="F82" s="114"/>
      <c r="G82" s="114"/>
      <c r="H82" s="115"/>
      <c r="I82" s="115"/>
    </row>
    <row r="83" spans="1:9" ht="30" customHeight="1" x14ac:dyDescent="0.3">
      <c r="A83" s="111"/>
      <c r="B83" s="125"/>
      <c r="C83" s="125"/>
      <c r="D83" s="113"/>
      <c r="E83" s="114"/>
      <c r="F83" s="114"/>
      <c r="G83" s="114"/>
      <c r="H83" s="115"/>
      <c r="I83" s="115"/>
    </row>
    <row r="84" spans="1:9" ht="30" customHeight="1" x14ac:dyDescent="0.3">
      <c r="A84" s="111"/>
      <c r="B84" s="125"/>
      <c r="C84" s="125"/>
      <c r="D84" s="113"/>
      <c r="E84" s="114"/>
      <c r="F84" s="114"/>
      <c r="G84" s="114"/>
      <c r="H84" s="115"/>
      <c r="I84" s="115"/>
    </row>
    <row r="85" spans="1:9" ht="30" customHeight="1" x14ac:dyDescent="0.3">
      <c r="A85" s="111"/>
      <c r="B85" s="125"/>
      <c r="C85" s="125"/>
      <c r="D85" s="113"/>
      <c r="E85" s="114"/>
      <c r="F85" s="114"/>
      <c r="G85" s="114"/>
      <c r="H85" s="115"/>
      <c r="I85" s="115"/>
    </row>
    <row r="86" spans="1:9" ht="30" customHeight="1" x14ac:dyDescent="0.3">
      <c r="A86" s="111"/>
      <c r="B86" s="125"/>
      <c r="C86" s="125"/>
      <c r="D86" s="113"/>
      <c r="E86" s="114"/>
      <c r="F86" s="114"/>
      <c r="G86" s="114"/>
      <c r="H86" s="115"/>
      <c r="I86" s="115"/>
    </row>
    <row r="87" spans="1:9" ht="30" customHeight="1" x14ac:dyDescent="0.3">
      <c r="A87" s="111"/>
      <c r="B87" s="125"/>
      <c r="C87" s="125"/>
      <c r="D87" s="113"/>
      <c r="E87" s="114"/>
      <c r="F87" s="114"/>
      <c r="G87" s="114"/>
      <c r="H87" s="115"/>
      <c r="I87" s="115"/>
    </row>
    <row r="88" spans="1:9" ht="30" customHeight="1" x14ac:dyDescent="0.3">
      <c r="A88" s="111"/>
      <c r="B88" s="125"/>
      <c r="C88" s="125"/>
      <c r="D88" s="113"/>
      <c r="E88" s="114"/>
      <c r="F88" s="114"/>
      <c r="G88" s="114"/>
      <c r="H88" s="115"/>
      <c r="I88" s="115"/>
    </row>
    <row r="89" spans="1:9" ht="30" customHeight="1" x14ac:dyDescent="0.3">
      <c r="A89" s="111"/>
      <c r="B89" s="125"/>
      <c r="C89" s="125"/>
      <c r="D89" s="113"/>
      <c r="E89" s="114"/>
      <c r="F89" s="114"/>
      <c r="G89" s="114"/>
      <c r="H89" s="115"/>
      <c r="I89" s="115"/>
    </row>
    <row r="90" spans="1:9" ht="30" customHeight="1" x14ac:dyDescent="0.3">
      <c r="A90" s="111"/>
      <c r="B90" s="125"/>
      <c r="C90" s="125"/>
      <c r="D90" s="113"/>
      <c r="E90" s="114"/>
      <c r="F90" s="114"/>
      <c r="G90" s="114"/>
      <c r="H90" s="115"/>
      <c r="I90" s="115"/>
    </row>
    <row r="91" spans="1:9" ht="30" customHeight="1" x14ac:dyDescent="0.3">
      <c r="A91" s="111"/>
      <c r="B91" s="125"/>
      <c r="C91" s="125"/>
      <c r="D91" s="113"/>
      <c r="E91" s="114"/>
      <c r="F91" s="114"/>
      <c r="G91" s="114"/>
      <c r="H91" s="115"/>
      <c r="I91" s="115"/>
    </row>
    <row r="92" spans="1:9" ht="30" customHeight="1" x14ac:dyDescent="0.3">
      <c r="A92" s="111"/>
      <c r="B92" s="125"/>
      <c r="C92" s="125"/>
      <c r="D92" s="113"/>
      <c r="E92" s="114"/>
      <c r="F92" s="114"/>
      <c r="G92" s="114"/>
      <c r="H92" s="115"/>
      <c r="I92" s="115"/>
    </row>
    <row r="93" spans="1:9" ht="30" customHeight="1" x14ac:dyDescent="0.3">
      <c r="A93" s="111"/>
      <c r="B93" s="125"/>
      <c r="C93" s="125"/>
      <c r="D93" s="113"/>
      <c r="E93" s="114"/>
      <c r="F93" s="114"/>
      <c r="G93" s="114"/>
      <c r="H93" s="115"/>
      <c r="I93" s="115"/>
    </row>
    <row r="94" spans="1:9" ht="30" customHeight="1" x14ac:dyDescent="0.3">
      <c r="A94" s="111"/>
      <c r="B94" s="125"/>
      <c r="C94" s="125"/>
      <c r="D94" s="113"/>
      <c r="E94" s="114"/>
      <c r="F94" s="114"/>
      <c r="G94" s="114"/>
      <c r="H94" s="115"/>
      <c r="I94" s="115"/>
    </row>
    <row r="95" spans="1:9" ht="30" customHeight="1" x14ac:dyDescent="0.3">
      <c r="A95" s="111"/>
      <c r="B95" s="125"/>
      <c r="C95" s="125"/>
      <c r="D95" s="113"/>
      <c r="E95" s="114"/>
      <c r="F95" s="114"/>
      <c r="G95" s="114"/>
      <c r="H95" s="115"/>
      <c r="I95" s="115"/>
    </row>
    <row r="96" spans="1:9" ht="30" customHeight="1" x14ac:dyDescent="0.3">
      <c r="A96" s="111"/>
      <c r="B96" s="125"/>
      <c r="C96" s="125"/>
      <c r="D96" s="113"/>
      <c r="E96" s="114"/>
      <c r="F96" s="114"/>
      <c r="G96" s="114"/>
      <c r="H96" s="115"/>
      <c r="I96" s="115"/>
    </row>
    <row r="97" spans="1:9" ht="30" customHeight="1" x14ac:dyDescent="0.3">
      <c r="A97" s="111"/>
      <c r="B97" s="125"/>
      <c r="C97" s="125"/>
      <c r="D97" s="113"/>
      <c r="E97" s="114"/>
      <c r="F97" s="114"/>
      <c r="G97" s="114"/>
      <c r="H97" s="115"/>
      <c r="I97" s="115"/>
    </row>
    <row r="98" spans="1:9" ht="30" customHeight="1" x14ac:dyDescent="0.3">
      <c r="A98" s="111"/>
      <c r="B98" s="125"/>
      <c r="C98" s="125"/>
      <c r="D98" s="113"/>
      <c r="E98" s="114"/>
      <c r="F98" s="114"/>
      <c r="G98" s="114"/>
      <c r="H98" s="115"/>
      <c r="I98" s="115"/>
    </row>
    <row r="99" spans="1:9" ht="30" customHeight="1" x14ac:dyDescent="0.3">
      <c r="A99" s="111"/>
      <c r="B99" s="125"/>
      <c r="C99" s="125"/>
      <c r="D99" s="113"/>
      <c r="E99" s="114"/>
      <c r="F99" s="114"/>
      <c r="G99" s="114"/>
      <c r="H99" s="115"/>
      <c r="I99" s="115"/>
    </row>
    <row r="100" spans="1:9" ht="30" customHeight="1" x14ac:dyDescent="0.3">
      <c r="A100" s="111"/>
      <c r="B100" s="125"/>
      <c r="C100" s="125"/>
      <c r="D100" s="113"/>
      <c r="E100" s="114"/>
      <c r="F100" s="114"/>
      <c r="G100" s="114"/>
      <c r="H100" s="115"/>
      <c r="I100" s="115"/>
    </row>
    <row r="101" spans="1:9" ht="30" customHeight="1" x14ac:dyDescent="0.3">
      <c r="A101" s="111"/>
      <c r="B101" s="125"/>
      <c r="C101" s="125"/>
      <c r="D101" s="113"/>
      <c r="E101" s="114"/>
      <c r="F101" s="114"/>
      <c r="G101" s="114"/>
      <c r="H101" s="115"/>
      <c r="I101" s="115"/>
    </row>
    <row r="102" spans="1:9" ht="30" customHeight="1" x14ac:dyDescent="0.3">
      <c r="A102" s="111"/>
      <c r="B102" s="125"/>
      <c r="C102" s="125"/>
      <c r="D102" s="113"/>
      <c r="E102" s="114"/>
      <c r="F102" s="114"/>
      <c r="G102" s="114"/>
      <c r="H102" s="115"/>
      <c r="I102" s="115"/>
    </row>
    <row r="103" spans="1:9" ht="30" customHeight="1" x14ac:dyDescent="0.3">
      <c r="A103" s="111"/>
      <c r="B103" s="125"/>
      <c r="C103" s="125"/>
      <c r="D103" s="113"/>
      <c r="E103" s="114"/>
      <c r="F103" s="114"/>
      <c r="G103" s="114"/>
      <c r="H103" s="115"/>
      <c r="I103" s="115"/>
    </row>
    <row r="104" spans="1:9" ht="30" customHeight="1" x14ac:dyDescent="0.3">
      <c r="A104" s="111"/>
      <c r="B104" s="125"/>
      <c r="C104" s="125"/>
      <c r="D104" s="113"/>
      <c r="E104" s="114"/>
      <c r="F104" s="114"/>
      <c r="G104" s="114"/>
      <c r="H104" s="115"/>
      <c r="I104" s="115"/>
    </row>
    <row r="105" spans="1:9" ht="30" customHeight="1" x14ac:dyDescent="0.3">
      <c r="A105" s="111"/>
      <c r="B105" s="125"/>
      <c r="C105" s="125"/>
      <c r="D105" s="113"/>
      <c r="E105" s="114"/>
      <c r="F105" s="114"/>
      <c r="G105" s="114"/>
      <c r="H105" s="115"/>
      <c r="I105" s="115"/>
    </row>
    <row r="106" spans="1:9" ht="30" customHeight="1" x14ac:dyDescent="0.3">
      <c r="A106" s="111"/>
      <c r="B106" s="125"/>
      <c r="C106" s="125"/>
      <c r="D106" s="113"/>
      <c r="E106" s="114"/>
      <c r="F106" s="114"/>
      <c r="G106" s="114"/>
      <c r="H106" s="115"/>
      <c r="I106" s="115"/>
    </row>
    <row r="107" spans="1:9" ht="30" customHeight="1" x14ac:dyDescent="0.3">
      <c r="A107" s="111"/>
      <c r="B107" s="125"/>
      <c r="C107" s="125"/>
      <c r="D107" s="113"/>
      <c r="E107" s="114"/>
      <c r="F107" s="114"/>
      <c r="G107" s="114"/>
      <c r="H107" s="115"/>
      <c r="I107" s="115"/>
    </row>
    <row r="108" spans="1:9" ht="30" customHeight="1" x14ac:dyDescent="0.3">
      <c r="A108" s="111"/>
      <c r="B108" s="125"/>
      <c r="C108" s="125"/>
      <c r="D108" s="113"/>
      <c r="E108" s="114"/>
      <c r="F108" s="114"/>
      <c r="G108" s="114"/>
      <c r="H108" s="115"/>
      <c r="I108" s="115"/>
    </row>
    <row r="109" spans="1:9" ht="30" customHeight="1" x14ac:dyDescent="0.3">
      <c r="A109" s="111"/>
      <c r="B109" s="125"/>
      <c r="C109" s="125"/>
      <c r="D109" s="113"/>
      <c r="E109" s="114"/>
      <c r="F109" s="114"/>
      <c r="G109" s="114"/>
      <c r="H109" s="115"/>
      <c r="I109" s="115"/>
    </row>
    <row r="110" spans="1:9" ht="30" customHeight="1" x14ac:dyDescent="0.3">
      <c r="A110" s="111"/>
      <c r="B110" s="125"/>
      <c r="C110" s="125"/>
      <c r="D110" s="113"/>
      <c r="E110" s="114"/>
      <c r="F110" s="114"/>
      <c r="G110" s="114"/>
      <c r="H110" s="115"/>
      <c r="I110" s="115"/>
    </row>
    <row r="111" spans="1:9" ht="30" customHeight="1" x14ac:dyDescent="0.3">
      <c r="A111" s="111"/>
      <c r="B111" s="125"/>
      <c r="C111" s="125"/>
      <c r="D111" s="113"/>
      <c r="E111" s="114"/>
      <c r="F111" s="114"/>
      <c r="G111" s="114"/>
      <c r="H111" s="115"/>
      <c r="I111" s="115"/>
    </row>
    <row r="112" spans="1:9" ht="30" customHeight="1" x14ac:dyDescent="0.3">
      <c r="A112" s="111"/>
      <c r="B112" s="125"/>
      <c r="C112" s="125"/>
      <c r="D112" s="113"/>
      <c r="E112" s="114"/>
      <c r="F112" s="114"/>
      <c r="G112" s="114"/>
      <c r="H112" s="115"/>
      <c r="I112" s="115"/>
    </row>
    <row r="113" spans="1:9" ht="30" customHeight="1" x14ac:dyDescent="0.3">
      <c r="A113" s="111"/>
      <c r="B113" s="125"/>
      <c r="C113" s="125"/>
      <c r="D113" s="113"/>
      <c r="E113" s="114"/>
      <c r="F113" s="114"/>
      <c r="G113" s="114"/>
      <c r="H113" s="115"/>
      <c r="I113" s="115"/>
    </row>
    <row r="114" spans="1:9" ht="30" customHeight="1" x14ac:dyDescent="0.3">
      <c r="A114" s="111"/>
      <c r="B114" s="125"/>
      <c r="C114" s="125"/>
      <c r="D114" s="113"/>
      <c r="E114" s="114"/>
      <c r="F114" s="114"/>
      <c r="G114" s="114"/>
      <c r="H114" s="115"/>
      <c r="I114" s="115"/>
    </row>
    <row r="115" spans="1:9" ht="30" customHeight="1" x14ac:dyDescent="0.3">
      <c r="A115" s="111"/>
      <c r="B115" s="125"/>
      <c r="C115" s="125"/>
      <c r="D115" s="113"/>
      <c r="E115" s="114"/>
      <c r="F115" s="114"/>
      <c r="G115" s="114"/>
      <c r="H115" s="115"/>
      <c r="I115" s="115"/>
    </row>
    <row r="116" spans="1:9" ht="30" customHeight="1" x14ac:dyDescent="0.3">
      <c r="A116" s="111"/>
      <c r="B116" s="125"/>
      <c r="C116" s="125"/>
      <c r="D116" s="113"/>
      <c r="E116" s="114"/>
      <c r="F116" s="114"/>
      <c r="G116" s="114"/>
      <c r="H116" s="115"/>
      <c r="I116" s="115"/>
    </row>
    <row r="117" spans="1:9" ht="30" customHeight="1" x14ac:dyDescent="0.3">
      <c r="A117" s="111"/>
      <c r="B117" s="125"/>
      <c r="C117" s="125"/>
      <c r="D117" s="113"/>
      <c r="E117" s="114"/>
      <c r="F117" s="114"/>
      <c r="G117" s="114"/>
      <c r="H117" s="115"/>
      <c r="I117" s="115"/>
    </row>
    <row r="118" spans="1:9" ht="30" customHeight="1" x14ac:dyDescent="0.3">
      <c r="A118" s="111"/>
      <c r="B118" s="125"/>
      <c r="C118" s="125"/>
      <c r="D118" s="113"/>
      <c r="E118" s="114"/>
      <c r="F118" s="114"/>
      <c r="G118" s="114"/>
      <c r="H118" s="115"/>
      <c r="I118" s="115"/>
    </row>
    <row r="119" spans="1:9" ht="30" customHeight="1" x14ac:dyDescent="0.3">
      <c r="A119" s="111"/>
      <c r="B119" s="125"/>
      <c r="C119" s="125"/>
      <c r="D119" s="113"/>
      <c r="E119" s="114"/>
      <c r="F119" s="114"/>
      <c r="G119" s="114"/>
      <c r="H119" s="115"/>
      <c r="I119" s="115"/>
    </row>
    <row r="120" spans="1:9" ht="30" customHeight="1" x14ac:dyDescent="0.3">
      <c r="A120" s="111"/>
      <c r="B120" s="125"/>
      <c r="C120" s="125"/>
      <c r="D120" s="113"/>
      <c r="E120" s="114"/>
      <c r="F120" s="114"/>
      <c r="G120" s="114"/>
      <c r="H120" s="115"/>
      <c r="I120" s="115"/>
    </row>
    <row r="121" spans="1:9" ht="30" customHeight="1" x14ac:dyDescent="0.3">
      <c r="A121" s="111"/>
      <c r="B121" s="125"/>
      <c r="C121" s="125"/>
      <c r="D121" s="113"/>
      <c r="E121" s="114"/>
      <c r="F121" s="114"/>
      <c r="G121" s="114"/>
      <c r="H121" s="115"/>
      <c r="I121" s="115"/>
    </row>
    <row r="122" spans="1:9" ht="30" customHeight="1" x14ac:dyDescent="0.3">
      <c r="A122" s="111"/>
      <c r="B122" s="125"/>
      <c r="C122" s="125"/>
      <c r="D122" s="113"/>
      <c r="E122" s="114"/>
      <c r="F122" s="114"/>
      <c r="G122" s="114"/>
      <c r="H122" s="115"/>
      <c r="I122" s="115"/>
    </row>
    <row r="123" spans="1:9" ht="30" customHeight="1" x14ac:dyDescent="0.3">
      <c r="A123" s="111"/>
      <c r="B123" s="125"/>
      <c r="C123" s="125"/>
      <c r="D123" s="113"/>
      <c r="E123" s="114"/>
      <c r="F123" s="114"/>
      <c r="G123" s="114"/>
      <c r="H123" s="115"/>
      <c r="I123" s="115"/>
    </row>
    <row r="124" spans="1:9" ht="30" customHeight="1" x14ac:dyDescent="0.3">
      <c r="A124" s="111"/>
      <c r="B124" s="125"/>
      <c r="C124" s="125"/>
      <c r="D124" s="113"/>
      <c r="E124" s="114"/>
      <c r="F124" s="114"/>
      <c r="G124" s="114"/>
      <c r="H124" s="115"/>
      <c r="I124" s="115"/>
    </row>
    <row r="125" spans="1:9" ht="30" customHeight="1" x14ac:dyDescent="0.3">
      <c r="A125" s="111"/>
      <c r="B125" s="125"/>
      <c r="C125" s="125"/>
      <c r="D125" s="113"/>
      <c r="E125" s="114"/>
      <c r="F125" s="114"/>
      <c r="G125" s="114"/>
      <c r="H125" s="115"/>
      <c r="I125" s="115"/>
    </row>
    <row r="126" spans="1:9" ht="30" customHeight="1" x14ac:dyDescent="0.3">
      <c r="A126" s="111"/>
      <c r="B126" s="125"/>
      <c r="C126" s="125"/>
      <c r="D126" s="113"/>
      <c r="E126" s="114"/>
      <c r="F126" s="114"/>
      <c r="G126" s="114"/>
      <c r="H126" s="115"/>
      <c r="I126" s="115"/>
    </row>
    <row r="127" spans="1:9" ht="30" customHeight="1" x14ac:dyDescent="0.3">
      <c r="A127" s="111"/>
      <c r="B127" s="125"/>
      <c r="C127" s="125"/>
      <c r="D127" s="113"/>
      <c r="E127" s="114"/>
      <c r="F127" s="114"/>
      <c r="G127" s="114"/>
      <c r="H127" s="115"/>
      <c r="I127" s="115"/>
    </row>
    <row r="128" spans="1:9" ht="30" customHeight="1" x14ac:dyDescent="0.3">
      <c r="A128" s="111"/>
      <c r="B128" s="125"/>
      <c r="C128" s="125"/>
      <c r="D128" s="113"/>
      <c r="E128" s="114"/>
      <c r="F128" s="114"/>
      <c r="G128" s="114"/>
      <c r="H128" s="115"/>
      <c r="I128" s="115"/>
    </row>
    <row r="129" spans="1:9" ht="30" customHeight="1" x14ac:dyDescent="0.3">
      <c r="A129" s="111"/>
      <c r="B129" s="125"/>
      <c r="C129" s="125"/>
      <c r="D129" s="113"/>
      <c r="E129" s="114"/>
      <c r="F129" s="114"/>
      <c r="G129" s="114"/>
      <c r="H129" s="115"/>
      <c r="I129" s="115"/>
    </row>
    <row r="130" spans="1:9" ht="30" customHeight="1" x14ac:dyDescent="0.3">
      <c r="A130" s="111"/>
      <c r="B130" s="125"/>
      <c r="C130" s="125"/>
      <c r="D130" s="113"/>
      <c r="E130" s="114"/>
      <c r="F130" s="114"/>
      <c r="G130" s="114"/>
      <c r="H130" s="115"/>
      <c r="I130" s="115"/>
    </row>
    <row r="131" spans="1:9" ht="30" customHeight="1" x14ac:dyDescent="0.3">
      <c r="A131" s="111"/>
      <c r="B131" s="125"/>
      <c r="C131" s="125"/>
      <c r="D131" s="113"/>
      <c r="E131" s="114"/>
      <c r="F131" s="114"/>
      <c r="G131" s="114"/>
      <c r="H131" s="115"/>
      <c r="I131" s="115"/>
    </row>
    <row r="132" spans="1:9" ht="30" customHeight="1" x14ac:dyDescent="0.3">
      <c r="A132" s="111"/>
      <c r="B132" s="125"/>
      <c r="C132" s="125"/>
      <c r="D132" s="113"/>
      <c r="E132" s="114"/>
      <c r="F132" s="114"/>
      <c r="G132" s="114"/>
      <c r="H132" s="115"/>
      <c r="I132" s="115"/>
    </row>
    <row r="133" spans="1:9" ht="30" customHeight="1" x14ac:dyDescent="0.3">
      <c r="A133" s="111"/>
      <c r="B133" s="125"/>
      <c r="C133" s="125"/>
      <c r="D133" s="113"/>
      <c r="E133" s="114"/>
      <c r="F133" s="114"/>
      <c r="G133" s="114"/>
      <c r="H133" s="115"/>
      <c r="I133" s="115"/>
    </row>
    <row r="134" spans="1:9" ht="30" customHeight="1" x14ac:dyDescent="0.3">
      <c r="A134" s="111"/>
      <c r="B134" s="125"/>
      <c r="C134" s="125"/>
      <c r="D134" s="113"/>
      <c r="E134" s="114"/>
      <c r="F134" s="114"/>
      <c r="G134" s="114"/>
      <c r="H134" s="115"/>
      <c r="I134" s="115"/>
    </row>
    <row r="135" spans="1:9" ht="30" customHeight="1" x14ac:dyDescent="0.3">
      <c r="A135" s="111"/>
      <c r="B135" s="125"/>
      <c r="C135" s="125"/>
      <c r="D135" s="113"/>
      <c r="E135" s="114"/>
      <c r="F135" s="114"/>
      <c r="G135" s="114"/>
      <c r="H135" s="115"/>
      <c r="I135" s="115"/>
    </row>
    <row r="136" spans="1:9" ht="30" customHeight="1" x14ac:dyDescent="0.3">
      <c r="A136" s="111"/>
      <c r="B136" s="125"/>
      <c r="C136" s="125"/>
      <c r="D136" s="113"/>
      <c r="E136" s="114"/>
      <c r="F136" s="114"/>
      <c r="G136" s="114"/>
      <c r="H136" s="115"/>
      <c r="I136" s="115"/>
    </row>
    <row r="137" spans="1:9" ht="30" customHeight="1" x14ac:dyDescent="0.3">
      <c r="A137" s="111"/>
      <c r="B137" s="125"/>
      <c r="C137" s="125"/>
      <c r="D137" s="113"/>
      <c r="E137" s="114"/>
      <c r="F137" s="114"/>
      <c r="G137" s="114"/>
      <c r="H137" s="115"/>
      <c r="I137" s="115"/>
    </row>
    <row r="138" spans="1:9" ht="30" customHeight="1" x14ac:dyDescent="0.3">
      <c r="A138" s="111"/>
      <c r="B138" s="125"/>
      <c r="C138" s="125"/>
      <c r="D138" s="113"/>
      <c r="E138" s="114"/>
      <c r="F138" s="114"/>
      <c r="G138" s="114"/>
      <c r="H138" s="115"/>
      <c r="I138" s="115"/>
    </row>
    <row r="139" spans="1:9" ht="30" customHeight="1" x14ac:dyDescent="0.3">
      <c r="A139" s="111"/>
      <c r="B139" s="125"/>
      <c r="C139" s="125"/>
      <c r="D139" s="113"/>
      <c r="E139" s="114"/>
      <c r="F139" s="114"/>
      <c r="G139" s="114"/>
      <c r="H139" s="115"/>
      <c r="I139" s="115"/>
    </row>
    <row r="140" spans="1:9" ht="30" customHeight="1" x14ac:dyDescent="0.3">
      <c r="A140" s="111"/>
      <c r="B140" s="125"/>
      <c r="C140" s="125"/>
      <c r="D140" s="113"/>
      <c r="E140" s="114"/>
      <c r="F140" s="114"/>
      <c r="G140" s="114"/>
      <c r="H140" s="115"/>
      <c r="I140" s="115"/>
    </row>
    <row r="141" spans="1:9" ht="30" customHeight="1" x14ac:dyDescent="0.3">
      <c r="A141" s="111"/>
      <c r="B141" s="125"/>
      <c r="C141" s="125"/>
      <c r="D141" s="113"/>
      <c r="E141" s="114"/>
      <c r="F141" s="114"/>
      <c r="G141" s="114"/>
      <c r="H141" s="115"/>
      <c r="I141" s="115"/>
    </row>
    <row r="142" spans="1:9" ht="30" customHeight="1" x14ac:dyDescent="0.3">
      <c r="A142" s="111"/>
      <c r="B142" s="125"/>
      <c r="C142" s="125"/>
      <c r="D142" s="113"/>
      <c r="E142" s="114"/>
      <c r="F142" s="114"/>
      <c r="G142" s="114"/>
      <c r="H142" s="115"/>
      <c r="I142" s="115"/>
    </row>
    <row r="143" spans="1:9" ht="30" customHeight="1" x14ac:dyDescent="0.3">
      <c r="A143" s="111"/>
      <c r="B143" s="125"/>
      <c r="C143" s="125"/>
      <c r="D143" s="113"/>
      <c r="E143" s="114"/>
      <c r="F143" s="114"/>
      <c r="G143" s="114"/>
      <c r="H143" s="115"/>
      <c r="I143" s="115"/>
    </row>
    <row r="144" spans="1:9" ht="30" customHeight="1" x14ac:dyDescent="0.3">
      <c r="A144" s="111"/>
      <c r="B144" s="125"/>
      <c r="C144" s="125"/>
      <c r="D144" s="113"/>
      <c r="E144" s="114"/>
      <c r="F144" s="114"/>
      <c r="G144" s="114"/>
      <c r="H144" s="115"/>
      <c r="I144" s="115"/>
    </row>
    <row r="145" spans="1:9" ht="30" customHeight="1" x14ac:dyDescent="0.3">
      <c r="A145" s="111"/>
      <c r="B145" s="125"/>
      <c r="C145" s="125"/>
      <c r="D145" s="113"/>
      <c r="E145" s="114"/>
      <c r="F145" s="114"/>
      <c r="G145" s="114"/>
      <c r="H145" s="115"/>
      <c r="I145" s="115"/>
    </row>
    <row r="146" spans="1:9" ht="30" customHeight="1" x14ac:dyDescent="0.3">
      <c r="A146" s="111"/>
      <c r="B146" s="125"/>
      <c r="C146" s="125"/>
      <c r="D146" s="113"/>
      <c r="E146" s="114"/>
      <c r="F146" s="114"/>
      <c r="G146" s="114"/>
      <c r="H146" s="115"/>
      <c r="I146" s="115"/>
    </row>
    <row r="147" spans="1:9" ht="30" customHeight="1" x14ac:dyDescent="0.3">
      <c r="A147" s="111"/>
      <c r="B147" s="125"/>
      <c r="C147" s="125"/>
      <c r="D147" s="113"/>
      <c r="E147" s="114"/>
      <c r="F147" s="114"/>
      <c r="G147" s="114"/>
      <c r="H147" s="115"/>
      <c r="I147" s="115"/>
    </row>
    <row r="148" spans="1:9" ht="30" customHeight="1" x14ac:dyDescent="0.3">
      <c r="A148" s="111"/>
      <c r="B148" s="125"/>
      <c r="C148" s="125"/>
      <c r="D148" s="113"/>
      <c r="E148" s="114"/>
      <c r="F148" s="114"/>
      <c r="G148" s="114"/>
      <c r="H148" s="115"/>
      <c r="I148" s="115"/>
    </row>
    <row r="149" spans="1:9" ht="30" customHeight="1" x14ac:dyDescent="0.3">
      <c r="A149" s="111"/>
      <c r="B149" s="125"/>
      <c r="C149" s="125"/>
      <c r="D149" s="113"/>
      <c r="E149" s="114"/>
      <c r="F149" s="114"/>
      <c r="G149" s="114"/>
      <c r="H149" s="115"/>
      <c r="I149" s="115"/>
    </row>
    <row r="150" spans="1:9" ht="30" customHeight="1" x14ac:dyDescent="0.3">
      <c r="A150" s="111"/>
      <c r="B150" s="125"/>
      <c r="C150" s="125"/>
      <c r="D150" s="113"/>
      <c r="E150" s="114"/>
      <c r="F150" s="114"/>
      <c r="G150" s="114"/>
      <c r="H150" s="115"/>
      <c r="I150" s="115"/>
    </row>
    <row r="151" spans="1:9" ht="30" customHeight="1" x14ac:dyDescent="0.3">
      <c r="A151" s="111"/>
      <c r="B151" s="125"/>
      <c r="C151" s="125"/>
      <c r="D151" s="113"/>
      <c r="E151" s="114"/>
      <c r="F151" s="114"/>
      <c r="G151" s="114"/>
      <c r="H151" s="115"/>
      <c r="I151" s="115"/>
    </row>
    <row r="152" spans="1:9" ht="30" customHeight="1" x14ac:dyDescent="0.3">
      <c r="A152" s="111"/>
      <c r="B152" s="125"/>
      <c r="C152" s="125"/>
      <c r="D152" s="113"/>
      <c r="E152" s="114"/>
      <c r="F152" s="114"/>
      <c r="G152" s="114"/>
      <c r="H152" s="115"/>
      <c r="I152" s="115"/>
    </row>
    <row r="153" spans="1:9" ht="30" customHeight="1" x14ac:dyDescent="0.3">
      <c r="A153" s="111"/>
      <c r="B153" s="125"/>
      <c r="C153" s="125"/>
      <c r="D153" s="113"/>
      <c r="E153" s="114"/>
      <c r="F153" s="114"/>
      <c r="G153" s="114"/>
      <c r="H153" s="115"/>
      <c r="I153" s="115"/>
    </row>
    <row r="154" spans="1:9" ht="30" customHeight="1" x14ac:dyDescent="0.3">
      <c r="A154" s="111"/>
      <c r="B154" s="125"/>
      <c r="C154" s="125"/>
      <c r="D154" s="113"/>
      <c r="E154" s="114"/>
      <c r="F154" s="114"/>
      <c r="G154" s="114"/>
      <c r="H154" s="115"/>
      <c r="I154" s="115"/>
    </row>
    <row r="155" spans="1:9" ht="30" customHeight="1" x14ac:dyDescent="0.3">
      <c r="A155" s="111"/>
      <c r="B155" s="125"/>
      <c r="C155" s="125"/>
      <c r="D155" s="113"/>
      <c r="E155" s="114"/>
      <c r="F155" s="114"/>
      <c r="G155" s="114"/>
      <c r="H155" s="115"/>
      <c r="I155" s="115"/>
    </row>
    <row r="156" spans="1:9" ht="30" customHeight="1" x14ac:dyDescent="0.3">
      <c r="A156" s="111"/>
      <c r="B156" s="125"/>
      <c r="C156" s="125"/>
      <c r="D156" s="113"/>
      <c r="E156" s="114"/>
      <c r="F156" s="114"/>
      <c r="G156" s="114"/>
      <c r="H156" s="115"/>
      <c r="I156" s="115"/>
    </row>
    <row r="157" spans="1:9" ht="30" customHeight="1" x14ac:dyDescent="0.3">
      <c r="A157" s="111"/>
      <c r="B157" s="125"/>
      <c r="C157" s="125"/>
      <c r="D157" s="113"/>
      <c r="E157" s="114"/>
      <c r="F157" s="114"/>
      <c r="G157" s="114"/>
      <c r="H157" s="115"/>
      <c r="I157" s="115"/>
    </row>
    <row r="158" spans="1:9" ht="30" customHeight="1" x14ac:dyDescent="0.3">
      <c r="A158" s="111"/>
      <c r="B158" s="125"/>
      <c r="C158" s="125"/>
      <c r="D158" s="113"/>
      <c r="E158" s="114"/>
      <c r="F158" s="114"/>
      <c r="G158" s="114"/>
      <c r="H158" s="115"/>
      <c r="I158" s="115"/>
    </row>
    <row r="159" spans="1:9" ht="30" customHeight="1" x14ac:dyDescent="0.3">
      <c r="A159" s="111"/>
      <c r="B159" s="125"/>
      <c r="C159" s="125"/>
      <c r="D159" s="113"/>
      <c r="E159" s="114"/>
      <c r="F159" s="114"/>
      <c r="G159" s="114"/>
      <c r="H159" s="115"/>
      <c r="I159" s="115"/>
    </row>
    <row r="160" spans="1:9" ht="30" customHeight="1" x14ac:dyDescent="0.3">
      <c r="A160" s="111"/>
      <c r="B160" s="125"/>
      <c r="C160" s="125"/>
      <c r="D160" s="113"/>
      <c r="E160" s="114"/>
      <c r="F160" s="114"/>
      <c r="G160" s="114"/>
      <c r="H160" s="115"/>
      <c r="I160" s="115"/>
    </row>
    <row r="161" spans="1:9" ht="30" customHeight="1" x14ac:dyDescent="0.3">
      <c r="A161" s="111"/>
      <c r="B161" s="125"/>
      <c r="C161" s="125"/>
      <c r="D161" s="113"/>
      <c r="E161" s="114"/>
      <c r="F161" s="114"/>
      <c r="G161" s="114"/>
      <c r="H161" s="115"/>
      <c r="I161" s="115"/>
    </row>
    <row r="162" spans="1:9" ht="30" customHeight="1" x14ac:dyDescent="0.3">
      <c r="A162" s="111"/>
      <c r="B162" s="125"/>
      <c r="C162" s="125"/>
      <c r="D162" s="113"/>
      <c r="E162" s="114"/>
      <c r="F162" s="114"/>
      <c r="G162" s="114"/>
      <c r="H162" s="115"/>
      <c r="I162" s="115"/>
    </row>
    <row r="163" spans="1:9" ht="30" customHeight="1" x14ac:dyDescent="0.3">
      <c r="A163" s="111"/>
      <c r="B163" s="125"/>
      <c r="C163" s="125"/>
      <c r="D163" s="113"/>
      <c r="E163" s="114"/>
      <c r="F163" s="114"/>
      <c r="G163" s="114"/>
      <c r="H163" s="115"/>
      <c r="I163" s="115"/>
    </row>
    <row r="164" spans="1:9" ht="30" customHeight="1" x14ac:dyDescent="0.3">
      <c r="A164" s="111"/>
      <c r="B164" s="125"/>
      <c r="C164" s="125"/>
      <c r="D164" s="113"/>
      <c r="E164" s="114"/>
      <c r="F164" s="114"/>
      <c r="G164" s="114"/>
      <c r="H164" s="115"/>
      <c r="I164" s="115"/>
    </row>
    <row r="165" spans="1:9" ht="30" customHeight="1" x14ac:dyDescent="0.3">
      <c r="A165" s="111"/>
      <c r="B165" s="125"/>
      <c r="C165" s="125"/>
      <c r="D165" s="113"/>
      <c r="E165" s="114"/>
      <c r="F165" s="114"/>
      <c r="G165" s="114"/>
      <c r="H165" s="115"/>
      <c r="I165" s="115"/>
    </row>
    <row r="166" spans="1:9" ht="30" customHeight="1" x14ac:dyDescent="0.3">
      <c r="A166" s="111"/>
      <c r="B166" s="125"/>
      <c r="C166" s="125"/>
      <c r="D166" s="113"/>
      <c r="E166" s="114"/>
      <c r="F166" s="114"/>
      <c r="G166" s="114"/>
      <c r="H166" s="115"/>
      <c r="I166" s="115"/>
    </row>
    <row r="167" spans="1:9" ht="30" customHeight="1" x14ac:dyDescent="0.3">
      <c r="A167" s="111"/>
      <c r="B167" s="125"/>
      <c r="C167" s="125"/>
      <c r="D167" s="113"/>
      <c r="E167" s="114"/>
      <c r="F167" s="114"/>
      <c r="G167" s="114"/>
      <c r="H167" s="115"/>
      <c r="I167" s="115"/>
    </row>
    <row r="168" spans="1:9" ht="30" customHeight="1" x14ac:dyDescent="0.3">
      <c r="A168" s="111"/>
      <c r="B168" s="125"/>
      <c r="C168" s="125"/>
      <c r="D168" s="113"/>
      <c r="E168" s="114"/>
      <c r="F168" s="114"/>
      <c r="G168" s="114"/>
      <c r="H168" s="115"/>
      <c r="I168" s="115"/>
    </row>
    <row r="169" spans="1:9" ht="30" customHeight="1" x14ac:dyDescent="0.3">
      <c r="A169" s="111"/>
      <c r="B169" s="125"/>
      <c r="C169" s="125"/>
      <c r="D169" s="113"/>
      <c r="E169" s="114"/>
      <c r="F169" s="114"/>
      <c r="G169" s="114"/>
      <c r="H169" s="115"/>
      <c r="I169" s="115"/>
    </row>
    <row r="170" spans="1:9" ht="30" customHeight="1" x14ac:dyDescent="0.3">
      <c r="A170" s="111"/>
      <c r="B170" s="125"/>
      <c r="C170" s="125"/>
      <c r="D170" s="113"/>
      <c r="E170" s="114"/>
      <c r="F170" s="114"/>
      <c r="G170" s="114"/>
      <c r="H170" s="115"/>
      <c r="I170" s="115"/>
    </row>
    <row r="171" spans="1:9" ht="30" customHeight="1" x14ac:dyDescent="0.3">
      <c r="A171" s="111"/>
      <c r="B171" s="125"/>
      <c r="C171" s="125"/>
      <c r="D171" s="113"/>
      <c r="E171" s="114"/>
      <c r="F171" s="114"/>
      <c r="G171" s="114"/>
      <c r="H171" s="115"/>
      <c r="I171" s="115"/>
    </row>
    <row r="172" spans="1:9" ht="30" customHeight="1" x14ac:dyDescent="0.3">
      <c r="A172" s="111"/>
      <c r="B172" s="125"/>
      <c r="C172" s="125"/>
      <c r="D172" s="113"/>
      <c r="E172" s="114"/>
      <c r="F172" s="114"/>
      <c r="G172" s="114"/>
      <c r="H172" s="115"/>
      <c r="I172" s="115"/>
    </row>
    <row r="173" spans="1:9" ht="30" customHeight="1" x14ac:dyDescent="0.3">
      <c r="A173" s="111"/>
      <c r="B173" s="125"/>
      <c r="C173" s="125"/>
      <c r="D173" s="113"/>
      <c r="E173" s="114"/>
      <c r="F173" s="114"/>
      <c r="G173" s="114"/>
      <c r="H173" s="115"/>
      <c r="I173" s="115"/>
    </row>
    <row r="174" spans="1:9" ht="30" customHeight="1" x14ac:dyDescent="0.3">
      <c r="A174" s="111"/>
      <c r="B174" s="125"/>
      <c r="C174" s="125"/>
      <c r="D174" s="113"/>
      <c r="E174" s="114"/>
      <c r="F174" s="114"/>
      <c r="G174" s="114"/>
      <c r="H174" s="115"/>
      <c r="I174" s="115"/>
    </row>
    <row r="175" spans="1:9" ht="30" customHeight="1" x14ac:dyDescent="0.3">
      <c r="A175" s="111"/>
      <c r="B175" s="125"/>
      <c r="C175" s="125"/>
      <c r="D175" s="113"/>
      <c r="E175" s="114"/>
      <c r="F175" s="114"/>
      <c r="G175" s="114"/>
      <c r="H175" s="115"/>
      <c r="I175" s="115"/>
    </row>
    <row r="176" spans="1:9" ht="30" customHeight="1" x14ac:dyDescent="0.3">
      <c r="A176" s="111"/>
      <c r="B176" s="125"/>
      <c r="C176" s="125"/>
      <c r="D176" s="113"/>
      <c r="E176" s="114"/>
      <c r="F176" s="114"/>
      <c r="G176" s="114"/>
      <c r="H176" s="115"/>
      <c r="I176" s="115"/>
    </row>
    <row r="177" spans="1:9" ht="30" customHeight="1" x14ac:dyDescent="0.3">
      <c r="A177" s="111"/>
      <c r="B177" s="125"/>
      <c r="C177" s="125"/>
      <c r="D177" s="113"/>
      <c r="E177" s="114"/>
      <c r="F177" s="114"/>
      <c r="G177" s="114"/>
      <c r="H177" s="115"/>
      <c r="I177" s="115"/>
    </row>
    <row r="178" spans="1:9" ht="30" customHeight="1" x14ac:dyDescent="0.3">
      <c r="A178" s="111"/>
      <c r="B178" s="125"/>
      <c r="C178" s="125"/>
      <c r="D178" s="113"/>
      <c r="E178" s="114"/>
      <c r="F178" s="114"/>
      <c r="G178" s="114"/>
      <c r="H178" s="115"/>
      <c r="I178" s="115"/>
    </row>
    <row r="179" spans="1:9" ht="30" customHeight="1" x14ac:dyDescent="0.3">
      <c r="A179" s="111"/>
      <c r="B179" s="125"/>
      <c r="C179" s="125"/>
      <c r="D179" s="113"/>
      <c r="E179" s="114"/>
      <c r="F179" s="114"/>
      <c r="G179" s="114"/>
      <c r="H179" s="115"/>
      <c r="I179" s="115"/>
    </row>
    <row r="180" spans="1:9" ht="30" customHeight="1" x14ac:dyDescent="0.3">
      <c r="A180" s="111"/>
      <c r="B180" s="125"/>
      <c r="C180" s="125"/>
      <c r="D180" s="113"/>
      <c r="E180" s="114"/>
      <c r="F180" s="114"/>
      <c r="G180" s="114"/>
      <c r="H180" s="115"/>
      <c r="I180" s="115"/>
    </row>
    <row r="181" spans="1:9" ht="30" customHeight="1" x14ac:dyDescent="0.3">
      <c r="A181" s="111"/>
      <c r="B181" s="125"/>
      <c r="C181" s="125"/>
      <c r="D181" s="113"/>
      <c r="E181" s="114"/>
      <c r="F181" s="114"/>
      <c r="G181" s="114"/>
      <c r="H181" s="115"/>
      <c r="I181" s="115"/>
    </row>
    <row r="182" spans="1:9" ht="30" customHeight="1" x14ac:dyDescent="0.3">
      <c r="A182" s="111"/>
      <c r="B182" s="125"/>
      <c r="C182" s="125"/>
      <c r="D182" s="113"/>
      <c r="E182" s="114"/>
      <c r="F182" s="114"/>
      <c r="G182" s="114"/>
      <c r="H182" s="115"/>
      <c r="I182" s="115"/>
    </row>
    <row r="183" spans="1:9" ht="30" customHeight="1" x14ac:dyDescent="0.3">
      <c r="A183" s="111"/>
      <c r="B183" s="125"/>
      <c r="C183" s="125"/>
      <c r="D183" s="113"/>
      <c r="E183" s="114"/>
      <c r="F183" s="114"/>
      <c r="G183" s="114"/>
      <c r="H183" s="115"/>
      <c r="I183" s="115"/>
    </row>
    <row r="184" spans="1:9" ht="30" customHeight="1" x14ac:dyDescent="0.3">
      <c r="A184" s="111"/>
      <c r="B184" s="125"/>
      <c r="C184" s="125"/>
      <c r="D184" s="113"/>
      <c r="E184" s="114"/>
      <c r="F184" s="114"/>
      <c r="G184" s="114"/>
      <c r="H184" s="115"/>
      <c r="I184" s="115"/>
    </row>
    <row r="185" spans="1:9" ht="30" customHeight="1" x14ac:dyDescent="0.3">
      <c r="A185" s="111"/>
      <c r="B185" s="125"/>
      <c r="C185" s="125"/>
      <c r="D185" s="113"/>
      <c r="E185" s="114"/>
      <c r="F185" s="114"/>
      <c r="G185" s="114"/>
      <c r="H185" s="115"/>
      <c r="I185" s="115"/>
    </row>
    <row r="186" spans="1:9" ht="30" customHeight="1" x14ac:dyDescent="0.3">
      <c r="A186" s="111"/>
      <c r="B186" s="125"/>
      <c r="C186" s="125"/>
      <c r="D186" s="113"/>
      <c r="E186" s="114"/>
      <c r="F186" s="114"/>
      <c r="G186" s="114"/>
      <c r="H186" s="115"/>
      <c r="I186" s="115"/>
    </row>
    <row r="187" spans="1:9" ht="30" customHeight="1" x14ac:dyDescent="0.3">
      <c r="A187" s="111"/>
      <c r="B187" s="125"/>
      <c r="C187" s="125"/>
      <c r="D187" s="113"/>
      <c r="E187" s="114"/>
      <c r="F187" s="114"/>
      <c r="G187" s="114"/>
      <c r="H187" s="115"/>
      <c r="I187" s="115"/>
    </row>
    <row r="188" spans="1:9" ht="30" customHeight="1" x14ac:dyDescent="0.3">
      <c r="A188" s="111"/>
      <c r="B188" s="125"/>
      <c r="C188" s="125"/>
      <c r="D188" s="113"/>
      <c r="E188" s="114"/>
      <c r="F188" s="114"/>
      <c r="G188" s="114"/>
      <c r="H188" s="115"/>
      <c r="I188" s="115"/>
    </row>
    <row r="189" spans="1:9" ht="30" customHeight="1" x14ac:dyDescent="0.3">
      <c r="A189" s="111"/>
      <c r="B189" s="125"/>
      <c r="C189" s="125"/>
      <c r="D189" s="113"/>
      <c r="E189" s="114"/>
      <c r="F189" s="114"/>
      <c r="G189" s="114"/>
      <c r="H189" s="115"/>
      <c r="I189" s="115"/>
    </row>
    <row r="190" spans="1:9" ht="30" customHeight="1" x14ac:dyDescent="0.3">
      <c r="A190" s="111"/>
      <c r="B190" s="125"/>
      <c r="C190" s="125"/>
      <c r="D190" s="113"/>
      <c r="E190" s="114"/>
      <c r="F190" s="114"/>
      <c r="G190" s="114"/>
      <c r="H190" s="115"/>
      <c r="I190" s="115"/>
    </row>
    <row r="191" spans="1:9" ht="30" customHeight="1" x14ac:dyDescent="0.3">
      <c r="A191" s="111"/>
      <c r="B191" s="125"/>
      <c r="C191" s="125"/>
      <c r="D191" s="113"/>
      <c r="E191" s="114"/>
      <c r="F191" s="114"/>
      <c r="G191" s="114"/>
      <c r="H191" s="115"/>
      <c r="I191" s="115"/>
    </row>
    <row r="192" spans="1:9" ht="30" customHeight="1" x14ac:dyDescent="0.3">
      <c r="A192" s="111"/>
      <c r="B192" s="125"/>
      <c r="C192" s="125"/>
      <c r="D192" s="113"/>
      <c r="E192" s="114"/>
      <c r="F192" s="114"/>
      <c r="G192" s="114"/>
      <c r="H192" s="115"/>
      <c r="I192" s="115"/>
    </row>
    <row r="193" spans="1:9" ht="30" customHeight="1" x14ac:dyDescent="0.3">
      <c r="A193" s="111"/>
      <c r="B193" s="125"/>
      <c r="C193" s="125"/>
      <c r="D193" s="113"/>
      <c r="E193" s="114"/>
      <c r="F193" s="114"/>
      <c r="G193" s="114"/>
      <c r="H193" s="115"/>
      <c r="I193" s="115"/>
    </row>
    <row r="194" spans="1:9" ht="30" customHeight="1" x14ac:dyDescent="0.3">
      <c r="A194" s="111"/>
      <c r="B194" s="125"/>
      <c r="C194" s="125"/>
      <c r="D194" s="113"/>
      <c r="E194" s="114"/>
      <c r="F194" s="114"/>
      <c r="G194" s="114"/>
      <c r="H194" s="115"/>
      <c r="I194" s="115"/>
    </row>
    <row r="195" spans="1:9" ht="30" customHeight="1" x14ac:dyDescent="0.3">
      <c r="A195" s="111"/>
      <c r="B195" s="125"/>
      <c r="C195" s="125"/>
      <c r="D195" s="113"/>
      <c r="E195" s="114"/>
      <c r="F195" s="114"/>
      <c r="G195" s="114"/>
      <c r="H195" s="115"/>
      <c r="I195" s="115"/>
    </row>
    <row r="196" spans="1:9" ht="30" customHeight="1" x14ac:dyDescent="0.3">
      <c r="A196" s="111"/>
      <c r="B196" s="125"/>
      <c r="C196" s="125"/>
      <c r="D196" s="113"/>
      <c r="E196" s="114"/>
      <c r="F196" s="114"/>
      <c r="G196" s="114"/>
      <c r="H196" s="115"/>
      <c r="I196" s="115"/>
    </row>
    <row r="197" spans="1:9" ht="30" customHeight="1" x14ac:dyDescent="0.3">
      <c r="A197" s="111"/>
      <c r="B197" s="125"/>
      <c r="C197" s="125"/>
      <c r="D197" s="113"/>
      <c r="E197" s="114"/>
      <c r="F197" s="114"/>
      <c r="G197" s="114"/>
      <c r="H197" s="115"/>
      <c r="I197" s="115"/>
    </row>
    <row r="198" spans="1:9" ht="30" customHeight="1" x14ac:dyDescent="0.3">
      <c r="A198" s="111"/>
      <c r="B198" s="125"/>
      <c r="C198" s="125"/>
      <c r="D198" s="113"/>
      <c r="E198" s="114"/>
      <c r="F198" s="114"/>
      <c r="G198" s="114"/>
      <c r="H198" s="115"/>
      <c r="I198" s="115"/>
    </row>
    <row r="199" spans="1:9" ht="30" customHeight="1" x14ac:dyDescent="0.3">
      <c r="A199" s="111"/>
      <c r="B199" s="125"/>
      <c r="C199" s="125"/>
      <c r="D199" s="113"/>
      <c r="E199" s="114"/>
      <c r="F199" s="114"/>
      <c r="G199" s="114"/>
      <c r="H199" s="115"/>
      <c r="I199" s="115"/>
    </row>
    <row r="200" spans="1:9" ht="30" customHeight="1" x14ac:dyDescent="0.3">
      <c r="A200" s="111"/>
      <c r="B200" s="125"/>
      <c r="C200" s="125"/>
      <c r="D200" s="113"/>
      <c r="E200" s="114"/>
      <c r="F200" s="114"/>
      <c r="G200" s="114"/>
      <c r="H200" s="115"/>
      <c r="I200" s="115"/>
    </row>
  </sheetData>
  <mergeCells count="2">
    <mergeCell ref="A2:C2"/>
    <mergeCell ref="E2:G2"/>
  </mergeCells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I213"/>
  <sheetViews>
    <sheetView zoomScale="83" workbookViewId="0">
      <selection activeCell="J10" sqref="J10"/>
    </sheetView>
  </sheetViews>
  <sheetFormatPr defaultColWidth="8.81640625" defaultRowHeight="14" x14ac:dyDescent="0.3"/>
  <cols>
    <col min="1" max="1" width="8.81640625" style="121"/>
    <col min="2" max="2" width="16.81640625" style="121" customWidth="1"/>
    <col min="3" max="3" width="41.6328125" style="121" customWidth="1"/>
    <col min="4" max="4" width="19.453125" style="121" customWidth="1"/>
    <col min="5" max="5" width="15.81640625" style="121" customWidth="1"/>
    <col min="6" max="6" width="26.36328125" style="121" bestFit="1" customWidth="1"/>
    <col min="7" max="7" width="18.6328125" style="121" customWidth="1"/>
    <col min="8" max="8" width="20.453125" style="121" customWidth="1"/>
    <col min="9" max="9" width="18.6328125" style="109" customWidth="1"/>
    <col min="10" max="16384" width="8.81640625" style="108"/>
  </cols>
  <sheetData>
    <row r="2" spans="1:8" ht="30" customHeight="1" x14ac:dyDescent="0.3">
      <c r="A2" s="467" t="s">
        <v>111</v>
      </c>
      <c r="B2" s="518"/>
      <c r="C2" s="518"/>
      <c r="D2" s="468"/>
      <c r="E2" s="141" t="s">
        <v>110</v>
      </c>
      <c r="F2" s="156" t="s">
        <v>109</v>
      </c>
      <c r="G2" s="139" t="s">
        <v>108</v>
      </c>
      <c r="H2" s="157"/>
    </row>
    <row r="3" spans="1:8" ht="30" customHeight="1" x14ac:dyDescent="0.3">
      <c r="A3" s="149" t="s">
        <v>20</v>
      </c>
      <c r="B3" s="149" t="s">
        <v>260</v>
      </c>
      <c r="C3" s="149" t="s">
        <v>261</v>
      </c>
      <c r="D3" s="149" t="s">
        <v>121</v>
      </c>
      <c r="E3" s="153" t="s">
        <v>11</v>
      </c>
      <c r="F3" s="151" t="s">
        <v>262</v>
      </c>
      <c r="G3" s="152" t="s">
        <v>265</v>
      </c>
      <c r="H3" s="152" t="s">
        <v>156</v>
      </c>
    </row>
    <row r="4" spans="1:8" ht="30" customHeight="1" x14ac:dyDescent="0.3">
      <c r="A4" s="111">
        <v>1</v>
      </c>
      <c r="B4" s="111" t="s">
        <v>2024</v>
      </c>
      <c r="C4" s="111" t="s">
        <v>2025</v>
      </c>
      <c r="D4" s="111" t="s">
        <v>2026</v>
      </c>
      <c r="E4" s="112"/>
      <c r="F4" s="117" t="s">
        <v>263</v>
      </c>
      <c r="G4" s="154">
        <v>5</v>
      </c>
      <c r="H4" s="154">
        <v>5</v>
      </c>
    </row>
    <row r="5" spans="1:8" ht="30" customHeight="1" x14ac:dyDescent="0.3">
      <c r="A5" s="111">
        <f>A4+1</f>
        <v>2</v>
      </c>
      <c r="B5" s="111" t="s">
        <v>2024</v>
      </c>
      <c r="C5" s="111" t="s">
        <v>2027</v>
      </c>
      <c r="D5" s="111" t="s">
        <v>2028</v>
      </c>
      <c r="E5" s="112"/>
      <c r="F5" s="117" t="s">
        <v>263</v>
      </c>
      <c r="G5" s="154">
        <v>5</v>
      </c>
      <c r="H5" s="154">
        <v>5</v>
      </c>
    </row>
    <row r="6" spans="1:8" ht="30" customHeight="1" x14ac:dyDescent="0.3">
      <c r="A6" s="111">
        <f t="shared" ref="A6:A69" si="0">A5+1</f>
        <v>3</v>
      </c>
      <c r="B6" s="111" t="s">
        <v>2024</v>
      </c>
      <c r="C6" s="111" t="s">
        <v>2029</v>
      </c>
      <c r="D6" s="111" t="s">
        <v>2028</v>
      </c>
      <c r="E6" s="112"/>
      <c r="F6" s="117" t="s">
        <v>263</v>
      </c>
      <c r="G6" s="154">
        <v>5</v>
      </c>
      <c r="H6" s="154">
        <v>5</v>
      </c>
    </row>
    <row r="7" spans="1:8" ht="30" customHeight="1" x14ac:dyDescent="0.3">
      <c r="A7" s="111">
        <f t="shared" si="0"/>
        <v>4</v>
      </c>
      <c r="B7" s="111" t="s">
        <v>2024</v>
      </c>
      <c r="C7" s="111" t="s">
        <v>2030</v>
      </c>
      <c r="D7" s="111" t="s">
        <v>2028</v>
      </c>
      <c r="E7" s="112"/>
      <c r="F7" s="117" t="s">
        <v>264</v>
      </c>
      <c r="G7" s="154">
        <v>5</v>
      </c>
      <c r="H7" s="154">
        <v>4</v>
      </c>
    </row>
    <row r="8" spans="1:8" ht="30" customHeight="1" x14ac:dyDescent="0.3">
      <c r="A8" s="111">
        <f t="shared" si="0"/>
        <v>5</v>
      </c>
      <c r="B8" s="111" t="s">
        <v>2031</v>
      </c>
      <c r="C8" s="111" t="s">
        <v>2029</v>
      </c>
      <c r="D8" s="111" t="s">
        <v>2032</v>
      </c>
      <c r="E8" s="112"/>
      <c r="F8" s="117" t="s">
        <v>263</v>
      </c>
      <c r="G8" s="154">
        <v>5</v>
      </c>
      <c r="H8" s="154">
        <v>5</v>
      </c>
    </row>
    <row r="9" spans="1:8" ht="30" customHeight="1" x14ac:dyDescent="0.3">
      <c r="A9" s="111">
        <f t="shared" si="0"/>
        <v>6</v>
      </c>
      <c r="B9" s="111" t="s">
        <v>2033</v>
      </c>
      <c r="C9" s="111" t="s">
        <v>2029</v>
      </c>
      <c r="D9" s="111" t="s">
        <v>2034</v>
      </c>
      <c r="E9" s="112"/>
      <c r="F9" s="117" t="s">
        <v>263</v>
      </c>
      <c r="G9" s="154">
        <v>5</v>
      </c>
      <c r="H9" s="154">
        <v>5</v>
      </c>
    </row>
    <row r="10" spans="1:8" ht="30" customHeight="1" x14ac:dyDescent="0.3">
      <c r="A10" s="111">
        <f t="shared" si="0"/>
        <v>7</v>
      </c>
      <c r="B10" s="111" t="s">
        <v>2033</v>
      </c>
      <c r="C10" s="111" t="s">
        <v>2027</v>
      </c>
      <c r="D10" s="111" t="s">
        <v>2034</v>
      </c>
      <c r="E10" s="112"/>
      <c r="F10" s="117" t="s">
        <v>263</v>
      </c>
      <c r="G10" s="154">
        <v>5</v>
      </c>
      <c r="H10" s="154">
        <v>5</v>
      </c>
    </row>
    <row r="11" spans="1:8" ht="30" customHeight="1" x14ac:dyDescent="0.3">
      <c r="A11" s="111">
        <f t="shared" si="0"/>
        <v>8</v>
      </c>
      <c r="B11" s="111" t="s">
        <v>2033</v>
      </c>
      <c r="C11" s="111" t="s">
        <v>2030</v>
      </c>
      <c r="D11" s="111" t="s">
        <v>2034</v>
      </c>
      <c r="E11" s="112"/>
      <c r="F11" s="117" t="s">
        <v>264</v>
      </c>
      <c r="G11" s="154">
        <v>5</v>
      </c>
      <c r="H11" s="154">
        <v>4</v>
      </c>
    </row>
    <row r="12" spans="1:8" ht="30" customHeight="1" x14ac:dyDescent="0.3">
      <c r="A12" s="111">
        <f t="shared" si="0"/>
        <v>9</v>
      </c>
      <c r="B12" s="111" t="s">
        <v>2035</v>
      </c>
      <c r="C12" s="111" t="s">
        <v>2029</v>
      </c>
      <c r="D12" s="111" t="s">
        <v>602</v>
      </c>
      <c r="E12" s="112"/>
      <c r="F12" s="117" t="s">
        <v>263</v>
      </c>
      <c r="G12" s="154">
        <v>5</v>
      </c>
      <c r="H12" s="154">
        <v>5</v>
      </c>
    </row>
    <row r="13" spans="1:8" ht="30" customHeight="1" x14ac:dyDescent="0.3">
      <c r="A13" s="111">
        <f t="shared" si="0"/>
        <v>10</v>
      </c>
      <c r="B13" s="111" t="s">
        <v>2035</v>
      </c>
      <c r="C13" s="111" t="s">
        <v>2030</v>
      </c>
      <c r="D13" s="111" t="s">
        <v>602</v>
      </c>
      <c r="E13" s="112"/>
      <c r="F13" s="117" t="s">
        <v>264</v>
      </c>
      <c r="G13" s="154">
        <v>3</v>
      </c>
      <c r="H13" s="154">
        <v>3</v>
      </c>
    </row>
    <row r="14" spans="1:8" ht="30" customHeight="1" x14ac:dyDescent="0.3">
      <c r="A14" s="111">
        <f t="shared" si="0"/>
        <v>11</v>
      </c>
      <c r="B14" s="111" t="s">
        <v>2036</v>
      </c>
      <c r="C14" s="111" t="s">
        <v>2027</v>
      </c>
      <c r="D14" s="111" t="s">
        <v>2037</v>
      </c>
      <c r="E14" s="112"/>
      <c r="F14" s="117" t="s">
        <v>263</v>
      </c>
      <c r="G14" s="154">
        <v>5</v>
      </c>
      <c r="H14" s="154">
        <v>5</v>
      </c>
    </row>
    <row r="15" spans="1:8" ht="30" customHeight="1" x14ac:dyDescent="0.3">
      <c r="A15" s="111">
        <f t="shared" si="0"/>
        <v>12</v>
      </c>
      <c r="B15" s="111" t="s">
        <v>2036</v>
      </c>
      <c r="C15" s="111" t="s">
        <v>2029</v>
      </c>
      <c r="D15" s="111" t="s">
        <v>2037</v>
      </c>
      <c r="E15" s="112"/>
      <c r="F15" s="117" t="s">
        <v>263</v>
      </c>
      <c r="G15" s="154">
        <v>5</v>
      </c>
      <c r="H15" s="154">
        <v>5</v>
      </c>
    </row>
    <row r="16" spans="1:8" ht="30" customHeight="1" x14ac:dyDescent="0.3">
      <c r="A16" s="111">
        <f t="shared" si="0"/>
        <v>13</v>
      </c>
      <c r="B16" s="111" t="s">
        <v>2036</v>
      </c>
      <c r="C16" s="111" t="s">
        <v>2030</v>
      </c>
      <c r="D16" s="111" t="s">
        <v>2037</v>
      </c>
      <c r="E16" s="112"/>
      <c r="F16" s="117" t="s">
        <v>264</v>
      </c>
      <c r="G16" s="154">
        <v>5</v>
      </c>
      <c r="H16" s="154">
        <v>4</v>
      </c>
    </row>
    <row r="17" spans="1:8" ht="30" customHeight="1" x14ac:dyDescent="0.3">
      <c r="A17" s="111">
        <f t="shared" si="0"/>
        <v>14</v>
      </c>
      <c r="B17" s="111" t="s">
        <v>2038</v>
      </c>
      <c r="C17" s="111" t="s">
        <v>2027</v>
      </c>
      <c r="D17" s="111" t="s">
        <v>2039</v>
      </c>
      <c r="E17" s="112"/>
      <c r="F17" s="117" t="s">
        <v>263</v>
      </c>
      <c r="G17" s="154">
        <v>5</v>
      </c>
      <c r="H17" s="154">
        <v>5</v>
      </c>
    </row>
    <row r="18" spans="1:8" ht="30" customHeight="1" x14ac:dyDescent="0.3">
      <c r="A18" s="111">
        <f t="shared" si="0"/>
        <v>15</v>
      </c>
      <c r="B18" s="111" t="s">
        <v>2038</v>
      </c>
      <c r="C18" s="111" t="s">
        <v>2029</v>
      </c>
      <c r="D18" s="111" t="s">
        <v>2039</v>
      </c>
      <c r="E18" s="112"/>
      <c r="F18" s="117" t="s">
        <v>263</v>
      </c>
      <c r="G18" s="154">
        <v>5</v>
      </c>
      <c r="H18" s="154">
        <v>5</v>
      </c>
    </row>
    <row r="19" spans="1:8" ht="30" customHeight="1" x14ac:dyDescent="0.3">
      <c r="A19" s="111">
        <f t="shared" si="0"/>
        <v>16</v>
      </c>
      <c r="B19" s="111" t="s">
        <v>2038</v>
      </c>
      <c r="C19" s="111" t="s">
        <v>2030</v>
      </c>
      <c r="D19" s="111" t="s">
        <v>2039</v>
      </c>
      <c r="E19" s="112"/>
      <c r="F19" s="117" t="s">
        <v>264</v>
      </c>
      <c r="G19" s="154">
        <v>5</v>
      </c>
      <c r="H19" s="154">
        <v>4</v>
      </c>
    </row>
    <row r="20" spans="1:8" ht="30" customHeight="1" x14ac:dyDescent="0.3">
      <c r="A20" s="111">
        <f t="shared" si="0"/>
        <v>17</v>
      </c>
      <c r="B20" s="111" t="s">
        <v>2040</v>
      </c>
      <c r="C20" s="111" t="s">
        <v>2041</v>
      </c>
      <c r="D20" s="111" t="s">
        <v>2042</v>
      </c>
      <c r="E20" s="112"/>
      <c r="F20" s="117" t="s">
        <v>263</v>
      </c>
      <c r="G20" s="154">
        <v>5</v>
      </c>
      <c r="H20" s="154">
        <v>5</v>
      </c>
    </row>
    <row r="21" spans="1:8" ht="30" customHeight="1" x14ac:dyDescent="0.3">
      <c r="A21" s="111">
        <f t="shared" si="0"/>
        <v>18</v>
      </c>
      <c r="B21" s="111" t="s">
        <v>2040</v>
      </c>
      <c r="C21" s="111" t="s">
        <v>2043</v>
      </c>
      <c r="D21" s="111" t="s">
        <v>2042</v>
      </c>
      <c r="E21" s="112"/>
      <c r="F21" s="117" t="s">
        <v>263</v>
      </c>
      <c r="G21" s="154">
        <v>5</v>
      </c>
      <c r="H21" s="154">
        <v>5</v>
      </c>
    </row>
    <row r="22" spans="1:8" ht="30" customHeight="1" x14ac:dyDescent="0.3">
      <c r="A22" s="111">
        <f t="shared" si="0"/>
        <v>19</v>
      </c>
      <c r="B22" s="111" t="s">
        <v>2040</v>
      </c>
      <c r="C22" s="111" t="s">
        <v>2027</v>
      </c>
      <c r="D22" s="111" t="s">
        <v>2042</v>
      </c>
      <c r="E22" s="112"/>
      <c r="F22" s="117" t="s">
        <v>263</v>
      </c>
      <c r="G22" s="154">
        <v>5</v>
      </c>
      <c r="H22" s="154">
        <v>5</v>
      </c>
    </row>
    <row r="23" spans="1:8" ht="30" customHeight="1" x14ac:dyDescent="0.3">
      <c r="A23" s="111">
        <f t="shared" si="0"/>
        <v>20</v>
      </c>
      <c r="B23" s="111" t="s">
        <v>2040</v>
      </c>
      <c r="C23" s="111" t="s">
        <v>2030</v>
      </c>
      <c r="D23" s="111" t="s">
        <v>2042</v>
      </c>
      <c r="E23" s="112"/>
      <c r="F23" s="117" t="s">
        <v>264</v>
      </c>
      <c r="G23" s="154">
        <v>5</v>
      </c>
      <c r="H23" s="154">
        <v>4</v>
      </c>
    </row>
    <row r="24" spans="1:8" ht="30" customHeight="1" x14ac:dyDescent="0.3">
      <c r="A24" s="111">
        <f t="shared" si="0"/>
        <v>21</v>
      </c>
      <c r="B24" s="111" t="s">
        <v>2044</v>
      </c>
      <c r="C24" s="111" t="s">
        <v>2029</v>
      </c>
      <c r="D24" s="111" t="s">
        <v>1177</v>
      </c>
      <c r="E24" s="112"/>
      <c r="F24" s="117" t="s">
        <v>263</v>
      </c>
      <c r="G24" s="154">
        <v>5</v>
      </c>
      <c r="H24" s="154">
        <v>5</v>
      </c>
    </row>
    <row r="25" spans="1:8" ht="30" customHeight="1" x14ac:dyDescent="0.3">
      <c r="A25" s="111">
        <f t="shared" si="0"/>
        <v>22</v>
      </c>
      <c r="B25" s="111" t="s">
        <v>2044</v>
      </c>
      <c r="C25" s="111" t="s">
        <v>2030</v>
      </c>
      <c r="D25" s="111" t="s">
        <v>1177</v>
      </c>
      <c r="E25" s="112"/>
      <c r="F25" s="117" t="s">
        <v>264</v>
      </c>
      <c r="G25" s="154">
        <v>3</v>
      </c>
      <c r="H25" s="154">
        <v>3</v>
      </c>
    </row>
    <row r="26" spans="1:8" ht="30" customHeight="1" x14ac:dyDescent="0.3">
      <c r="A26" s="111">
        <f t="shared" si="0"/>
        <v>23</v>
      </c>
      <c r="B26" s="111" t="s">
        <v>2045</v>
      </c>
      <c r="C26" s="111" t="s">
        <v>2029</v>
      </c>
      <c r="D26" s="111" t="s">
        <v>2046</v>
      </c>
      <c r="E26" s="112"/>
      <c r="F26" s="117" t="s">
        <v>263</v>
      </c>
      <c r="G26" s="154">
        <v>5</v>
      </c>
      <c r="H26" s="154">
        <v>5</v>
      </c>
    </row>
    <row r="27" spans="1:8" ht="30" customHeight="1" x14ac:dyDescent="0.3">
      <c r="A27" s="111">
        <f t="shared" si="0"/>
        <v>24</v>
      </c>
      <c r="B27" s="111" t="s">
        <v>2045</v>
      </c>
      <c r="C27" s="111" t="s">
        <v>2030</v>
      </c>
      <c r="D27" s="111" t="s">
        <v>2047</v>
      </c>
      <c r="E27" s="112"/>
      <c r="F27" s="117" t="s">
        <v>264</v>
      </c>
      <c r="G27" s="154">
        <v>3</v>
      </c>
      <c r="H27" s="154">
        <v>3</v>
      </c>
    </row>
    <row r="28" spans="1:8" ht="30" customHeight="1" x14ac:dyDescent="0.3">
      <c r="A28" s="111">
        <f t="shared" si="0"/>
        <v>25</v>
      </c>
      <c r="B28" s="111" t="s">
        <v>2048</v>
      </c>
      <c r="C28" s="111" t="s">
        <v>2029</v>
      </c>
      <c r="D28" s="111" t="s">
        <v>2049</v>
      </c>
      <c r="E28" s="112"/>
      <c r="F28" s="117" t="s">
        <v>263</v>
      </c>
      <c r="G28" s="154">
        <v>5</v>
      </c>
      <c r="H28" s="154">
        <v>5</v>
      </c>
    </row>
    <row r="29" spans="1:8" ht="30" customHeight="1" x14ac:dyDescent="0.3">
      <c r="A29" s="111">
        <f t="shared" si="0"/>
        <v>26</v>
      </c>
      <c r="B29" s="111" t="s">
        <v>2048</v>
      </c>
      <c r="C29" s="111" t="s">
        <v>2030</v>
      </c>
      <c r="D29" s="111" t="s">
        <v>2050</v>
      </c>
      <c r="E29" s="112"/>
      <c r="F29" s="117" t="s">
        <v>263</v>
      </c>
      <c r="G29" s="154">
        <v>3</v>
      </c>
      <c r="H29" s="154">
        <v>3</v>
      </c>
    </row>
    <row r="30" spans="1:8" ht="30" customHeight="1" x14ac:dyDescent="0.3">
      <c r="A30" s="111">
        <f t="shared" si="0"/>
        <v>27</v>
      </c>
      <c r="B30" s="111" t="s">
        <v>2051</v>
      </c>
      <c r="C30" s="111" t="s">
        <v>2041</v>
      </c>
      <c r="D30" s="111" t="s">
        <v>2052</v>
      </c>
      <c r="E30" s="112"/>
      <c r="F30" s="117" t="s">
        <v>263</v>
      </c>
      <c r="G30" s="154">
        <v>5</v>
      </c>
      <c r="H30" s="154">
        <v>5</v>
      </c>
    </row>
    <row r="31" spans="1:8" ht="30" customHeight="1" x14ac:dyDescent="0.3">
      <c r="A31" s="111">
        <f t="shared" si="0"/>
        <v>28</v>
      </c>
      <c r="B31" s="111" t="s">
        <v>2053</v>
      </c>
      <c r="C31" s="111" t="s">
        <v>2043</v>
      </c>
      <c r="D31" s="111" t="s">
        <v>2052</v>
      </c>
      <c r="E31" s="112"/>
      <c r="F31" s="117" t="s">
        <v>263</v>
      </c>
      <c r="G31" s="154">
        <v>5</v>
      </c>
      <c r="H31" s="154">
        <v>5</v>
      </c>
    </row>
    <row r="32" spans="1:8" ht="30" customHeight="1" x14ac:dyDescent="0.3">
      <c r="A32" s="111">
        <f t="shared" si="0"/>
        <v>29</v>
      </c>
      <c r="B32" s="111" t="s">
        <v>2053</v>
      </c>
      <c r="C32" s="111" t="s">
        <v>2027</v>
      </c>
      <c r="D32" s="111" t="s">
        <v>2054</v>
      </c>
      <c r="E32" s="112"/>
      <c r="F32" s="117" t="s">
        <v>263</v>
      </c>
      <c r="G32" s="154">
        <v>5</v>
      </c>
      <c r="H32" s="154">
        <v>5</v>
      </c>
    </row>
    <row r="33" spans="1:8" ht="30" customHeight="1" x14ac:dyDescent="0.3">
      <c r="A33" s="111">
        <f t="shared" si="0"/>
        <v>30</v>
      </c>
      <c r="B33" s="111" t="s">
        <v>2053</v>
      </c>
      <c r="C33" s="111" t="s">
        <v>2030</v>
      </c>
      <c r="D33" s="111" t="s">
        <v>2054</v>
      </c>
      <c r="E33" s="112"/>
      <c r="F33" s="117" t="s">
        <v>263</v>
      </c>
      <c r="G33" s="154">
        <v>5</v>
      </c>
      <c r="H33" s="154">
        <v>4</v>
      </c>
    </row>
    <row r="34" spans="1:8" ht="30" customHeight="1" x14ac:dyDescent="0.3">
      <c r="A34" s="111">
        <f t="shared" si="0"/>
        <v>31</v>
      </c>
      <c r="B34" s="111" t="s">
        <v>2055</v>
      </c>
      <c r="C34" s="111" t="s">
        <v>2029</v>
      </c>
      <c r="D34" s="111" t="s">
        <v>927</v>
      </c>
      <c r="E34" s="112"/>
      <c r="F34" s="117" t="s">
        <v>263</v>
      </c>
      <c r="G34" s="154">
        <v>5</v>
      </c>
      <c r="H34" s="154">
        <v>5</v>
      </c>
    </row>
    <row r="35" spans="1:8" ht="30" customHeight="1" x14ac:dyDescent="0.3">
      <c r="A35" s="111">
        <f t="shared" si="0"/>
        <v>32</v>
      </c>
      <c r="B35" s="111" t="s">
        <v>2055</v>
      </c>
      <c r="C35" s="111" t="s">
        <v>2030</v>
      </c>
      <c r="D35" s="111" t="s">
        <v>927</v>
      </c>
      <c r="E35" s="112"/>
      <c r="F35" s="117" t="s">
        <v>264</v>
      </c>
      <c r="G35" s="154">
        <v>3</v>
      </c>
      <c r="H35" s="154">
        <v>3</v>
      </c>
    </row>
    <row r="36" spans="1:8" ht="30" customHeight="1" x14ac:dyDescent="0.3">
      <c r="A36" s="111">
        <f t="shared" si="0"/>
        <v>33</v>
      </c>
      <c r="B36" s="111" t="s">
        <v>2056</v>
      </c>
      <c r="C36" s="111" t="s">
        <v>2029</v>
      </c>
      <c r="D36" s="111" t="s">
        <v>2057</v>
      </c>
      <c r="E36" s="112"/>
      <c r="F36" s="117" t="s">
        <v>263</v>
      </c>
      <c r="G36" s="154">
        <v>5</v>
      </c>
      <c r="H36" s="154">
        <v>5</v>
      </c>
    </row>
    <row r="37" spans="1:8" ht="30" customHeight="1" x14ac:dyDescent="0.3">
      <c r="A37" s="111">
        <f t="shared" si="0"/>
        <v>34</v>
      </c>
      <c r="B37" s="111" t="s">
        <v>2056</v>
      </c>
      <c r="C37" s="111" t="s">
        <v>2030</v>
      </c>
      <c r="D37" s="111" t="s">
        <v>2057</v>
      </c>
      <c r="E37" s="112"/>
      <c r="F37" s="117" t="s">
        <v>263</v>
      </c>
      <c r="G37" s="154">
        <v>4</v>
      </c>
      <c r="H37" s="154">
        <v>3</v>
      </c>
    </row>
    <row r="38" spans="1:8" ht="30" customHeight="1" x14ac:dyDescent="0.3">
      <c r="A38" s="111">
        <f t="shared" si="0"/>
        <v>35</v>
      </c>
      <c r="B38" s="111" t="s">
        <v>2058</v>
      </c>
      <c r="C38" s="111" t="s">
        <v>2029</v>
      </c>
      <c r="D38" s="111" t="s">
        <v>442</v>
      </c>
      <c r="E38" s="112"/>
      <c r="F38" s="117" t="s">
        <v>263</v>
      </c>
      <c r="G38" s="154">
        <v>5</v>
      </c>
      <c r="H38" s="154">
        <v>5</v>
      </c>
    </row>
    <row r="39" spans="1:8" ht="30" customHeight="1" x14ac:dyDescent="0.3">
      <c r="A39" s="111">
        <f t="shared" si="0"/>
        <v>36</v>
      </c>
      <c r="B39" s="111" t="s">
        <v>2058</v>
      </c>
      <c r="C39" s="111" t="s">
        <v>2030</v>
      </c>
      <c r="D39" s="111" t="s">
        <v>442</v>
      </c>
      <c r="E39" s="112"/>
      <c r="F39" s="117" t="s">
        <v>264</v>
      </c>
      <c r="G39" s="154">
        <v>3</v>
      </c>
      <c r="H39" s="154">
        <v>3</v>
      </c>
    </row>
    <row r="40" spans="1:8" ht="30" customHeight="1" x14ac:dyDescent="0.3">
      <c r="A40" s="111">
        <f t="shared" si="0"/>
        <v>37</v>
      </c>
      <c r="B40" s="111" t="s">
        <v>2059</v>
      </c>
      <c r="C40" s="111" t="s">
        <v>2029</v>
      </c>
      <c r="D40" s="111" t="s">
        <v>441</v>
      </c>
      <c r="E40" s="112"/>
      <c r="F40" s="117" t="s">
        <v>263</v>
      </c>
      <c r="G40" s="154">
        <v>5</v>
      </c>
      <c r="H40" s="154">
        <v>5</v>
      </c>
    </row>
    <row r="41" spans="1:8" ht="30" customHeight="1" x14ac:dyDescent="0.3">
      <c r="A41" s="111">
        <f t="shared" si="0"/>
        <v>38</v>
      </c>
      <c r="B41" s="111" t="s">
        <v>2059</v>
      </c>
      <c r="C41" s="111" t="s">
        <v>2030</v>
      </c>
      <c r="D41" s="111" t="s">
        <v>441</v>
      </c>
      <c r="E41" s="112"/>
      <c r="F41" s="117" t="s">
        <v>264</v>
      </c>
      <c r="G41" s="154">
        <v>3</v>
      </c>
      <c r="H41" s="154">
        <v>3</v>
      </c>
    </row>
    <row r="42" spans="1:8" ht="30" customHeight="1" x14ac:dyDescent="0.3">
      <c r="A42" s="111">
        <f t="shared" si="0"/>
        <v>39</v>
      </c>
      <c r="B42" s="111" t="s">
        <v>2060</v>
      </c>
      <c r="C42" s="111" t="s">
        <v>2029</v>
      </c>
      <c r="D42" s="111" t="s">
        <v>336</v>
      </c>
      <c r="E42" s="112"/>
      <c r="F42" s="117" t="s">
        <v>263</v>
      </c>
      <c r="G42" s="154">
        <v>5</v>
      </c>
      <c r="H42" s="154">
        <v>5</v>
      </c>
    </row>
    <row r="43" spans="1:8" ht="30" customHeight="1" x14ac:dyDescent="0.3">
      <c r="A43" s="111">
        <f t="shared" si="0"/>
        <v>40</v>
      </c>
      <c r="B43" s="111" t="s">
        <v>2060</v>
      </c>
      <c r="C43" s="111" t="s">
        <v>2030</v>
      </c>
      <c r="D43" s="111" t="s">
        <v>336</v>
      </c>
      <c r="E43" s="112"/>
      <c r="F43" s="117" t="s">
        <v>264</v>
      </c>
      <c r="G43" s="154">
        <v>5</v>
      </c>
      <c r="H43" s="154">
        <v>4</v>
      </c>
    </row>
    <row r="44" spans="1:8" ht="30" customHeight="1" x14ac:dyDescent="0.3">
      <c r="A44" s="111">
        <f t="shared" si="0"/>
        <v>41</v>
      </c>
      <c r="B44" s="111" t="s">
        <v>2061</v>
      </c>
      <c r="C44" s="111" t="s">
        <v>2029</v>
      </c>
      <c r="D44" s="111" t="s">
        <v>2062</v>
      </c>
      <c r="E44" s="112"/>
      <c r="F44" s="117" t="s">
        <v>263</v>
      </c>
      <c r="G44" s="154">
        <v>5</v>
      </c>
      <c r="H44" s="154">
        <v>5</v>
      </c>
    </row>
    <row r="45" spans="1:8" ht="30" customHeight="1" x14ac:dyDescent="0.3">
      <c r="A45" s="111">
        <f t="shared" si="0"/>
        <v>42</v>
      </c>
      <c r="B45" s="111" t="s">
        <v>2063</v>
      </c>
      <c r="C45" s="111" t="s">
        <v>2030</v>
      </c>
      <c r="D45" s="111" t="s">
        <v>436</v>
      </c>
      <c r="E45" s="112"/>
      <c r="F45" s="117" t="s">
        <v>264</v>
      </c>
      <c r="G45" s="154">
        <v>3</v>
      </c>
      <c r="H45" s="154">
        <v>3</v>
      </c>
    </row>
    <row r="46" spans="1:8" ht="30" customHeight="1" x14ac:dyDescent="0.3">
      <c r="A46" s="111">
        <f t="shared" si="0"/>
        <v>43</v>
      </c>
      <c r="B46" s="111" t="s">
        <v>2063</v>
      </c>
      <c r="C46" s="111" t="s">
        <v>2029</v>
      </c>
      <c r="D46" s="111" t="s">
        <v>436</v>
      </c>
      <c r="E46" s="112"/>
      <c r="F46" s="117" t="s">
        <v>263</v>
      </c>
      <c r="G46" s="154">
        <v>5</v>
      </c>
      <c r="H46" s="154">
        <v>5</v>
      </c>
    </row>
    <row r="47" spans="1:8" ht="30" customHeight="1" x14ac:dyDescent="0.3">
      <c r="A47" s="111">
        <f t="shared" si="0"/>
        <v>44</v>
      </c>
      <c r="B47" s="111" t="s">
        <v>2064</v>
      </c>
      <c r="C47" s="111" t="s">
        <v>2029</v>
      </c>
      <c r="D47" s="111" t="s">
        <v>1173</v>
      </c>
      <c r="E47" s="112"/>
      <c r="F47" s="117" t="s">
        <v>263</v>
      </c>
      <c r="G47" s="154">
        <v>5</v>
      </c>
      <c r="H47" s="154">
        <v>5</v>
      </c>
    </row>
    <row r="48" spans="1:8" ht="30" customHeight="1" x14ac:dyDescent="0.3">
      <c r="A48" s="111">
        <f t="shared" si="0"/>
        <v>45</v>
      </c>
      <c r="B48" s="111" t="s">
        <v>2064</v>
      </c>
      <c r="C48" s="111" t="s">
        <v>2030</v>
      </c>
      <c r="D48" s="111" t="s">
        <v>1173</v>
      </c>
      <c r="E48" s="112"/>
      <c r="F48" s="117" t="s">
        <v>264</v>
      </c>
      <c r="G48" s="154">
        <v>5</v>
      </c>
      <c r="H48" s="154">
        <v>4</v>
      </c>
    </row>
    <row r="49" spans="1:8" ht="30" customHeight="1" x14ac:dyDescent="0.3">
      <c r="A49" s="111">
        <f t="shared" si="0"/>
        <v>46</v>
      </c>
      <c r="B49" s="111" t="s">
        <v>2065</v>
      </c>
      <c r="C49" s="111" t="s">
        <v>2066</v>
      </c>
      <c r="D49" s="111" t="s">
        <v>2067</v>
      </c>
      <c r="E49" s="112"/>
      <c r="F49" s="117" t="s">
        <v>263</v>
      </c>
      <c r="G49" s="154">
        <v>5</v>
      </c>
      <c r="H49" s="154">
        <v>5</v>
      </c>
    </row>
    <row r="50" spans="1:8" ht="30" customHeight="1" x14ac:dyDescent="0.3">
      <c r="A50" s="111">
        <f t="shared" si="0"/>
        <v>47</v>
      </c>
      <c r="B50" s="111" t="s">
        <v>2065</v>
      </c>
      <c r="C50" s="111" t="s">
        <v>2043</v>
      </c>
      <c r="D50" s="111" t="s">
        <v>2067</v>
      </c>
      <c r="E50" s="112"/>
      <c r="F50" s="117" t="s">
        <v>263</v>
      </c>
      <c r="G50" s="154">
        <v>5</v>
      </c>
      <c r="H50" s="154">
        <v>5</v>
      </c>
    </row>
    <row r="51" spans="1:8" ht="30" customHeight="1" x14ac:dyDescent="0.3">
      <c r="A51" s="111">
        <f t="shared" si="0"/>
        <v>48</v>
      </c>
      <c r="B51" s="111" t="s">
        <v>2065</v>
      </c>
      <c r="C51" s="111" t="s">
        <v>2041</v>
      </c>
      <c r="D51" s="111" t="s">
        <v>2067</v>
      </c>
      <c r="E51" s="112"/>
      <c r="F51" s="117" t="s">
        <v>263</v>
      </c>
      <c r="G51" s="154">
        <v>5</v>
      </c>
      <c r="H51" s="154">
        <v>5</v>
      </c>
    </row>
    <row r="52" spans="1:8" ht="30" customHeight="1" x14ac:dyDescent="0.3">
      <c r="A52" s="111">
        <f t="shared" si="0"/>
        <v>49</v>
      </c>
      <c r="B52" s="111" t="s">
        <v>2065</v>
      </c>
      <c r="C52" s="111" t="s">
        <v>2068</v>
      </c>
      <c r="D52" s="111" t="s">
        <v>2067</v>
      </c>
      <c r="E52" s="112"/>
      <c r="F52" s="117" t="s">
        <v>263</v>
      </c>
      <c r="G52" s="154">
        <v>5</v>
      </c>
      <c r="H52" s="154">
        <v>5</v>
      </c>
    </row>
    <row r="53" spans="1:8" ht="30" customHeight="1" x14ac:dyDescent="0.3">
      <c r="A53" s="111">
        <f t="shared" si="0"/>
        <v>50</v>
      </c>
      <c r="B53" s="111" t="s">
        <v>2065</v>
      </c>
      <c r="C53" s="111" t="s">
        <v>2069</v>
      </c>
      <c r="D53" s="111" t="s">
        <v>2067</v>
      </c>
      <c r="E53" s="112"/>
      <c r="F53" s="117" t="s">
        <v>263</v>
      </c>
      <c r="G53" s="154">
        <v>5</v>
      </c>
      <c r="H53" s="154">
        <v>5</v>
      </c>
    </row>
    <row r="54" spans="1:8" ht="30" customHeight="1" x14ac:dyDescent="0.3">
      <c r="A54" s="111">
        <f t="shared" si="0"/>
        <v>51</v>
      </c>
      <c r="B54" s="111" t="s">
        <v>2065</v>
      </c>
      <c r="C54" s="111" t="s">
        <v>2070</v>
      </c>
      <c r="D54" s="111" t="s">
        <v>2067</v>
      </c>
      <c r="E54" s="112"/>
      <c r="F54" s="117" t="s">
        <v>263</v>
      </c>
      <c r="G54" s="154">
        <v>5</v>
      </c>
      <c r="H54" s="154">
        <v>5</v>
      </c>
    </row>
    <row r="55" spans="1:8" ht="30" customHeight="1" x14ac:dyDescent="0.3">
      <c r="A55" s="111">
        <f t="shared" si="0"/>
        <v>52</v>
      </c>
      <c r="B55" s="111" t="s">
        <v>2065</v>
      </c>
      <c r="C55" s="111" t="s">
        <v>2071</v>
      </c>
      <c r="D55" s="111" t="s">
        <v>2067</v>
      </c>
      <c r="E55" s="112"/>
      <c r="F55" s="117" t="s">
        <v>263</v>
      </c>
      <c r="G55" s="154">
        <v>5</v>
      </c>
      <c r="H55" s="154">
        <v>5</v>
      </c>
    </row>
    <row r="56" spans="1:8" ht="30" customHeight="1" x14ac:dyDescent="0.3">
      <c r="A56" s="111">
        <f t="shared" si="0"/>
        <v>53</v>
      </c>
      <c r="B56" s="111" t="s">
        <v>2065</v>
      </c>
      <c r="C56" s="111" t="s">
        <v>2072</v>
      </c>
      <c r="D56" s="111" t="s">
        <v>2067</v>
      </c>
      <c r="E56" s="112"/>
      <c r="F56" s="117" t="s">
        <v>263</v>
      </c>
      <c r="G56" s="154">
        <v>5</v>
      </c>
      <c r="H56" s="154">
        <v>5</v>
      </c>
    </row>
    <row r="57" spans="1:8" ht="30" customHeight="1" x14ac:dyDescent="0.3">
      <c r="A57" s="111">
        <f t="shared" si="0"/>
        <v>54</v>
      </c>
      <c r="B57" s="111" t="s">
        <v>2065</v>
      </c>
      <c r="C57" s="111" t="s">
        <v>2073</v>
      </c>
      <c r="D57" s="111" t="s">
        <v>2067</v>
      </c>
      <c r="E57" s="112"/>
      <c r="F57" s="117" t="s">
        <v>263</v>
      </c>
      <c r="G57" s="154">
        <v>5</v>
      </c>
      <c r="H57" s="154">
        <v>5</v>
      </c>
    </row>
    <row r="58" spans="1:8" ht="30" customHeight="1" x14ac:dyDescent="0.3">
      <c r="A58" s="111">
        <f t="shared" si="0"/>
        <v>55</v>
      </c>
      <c r="B58" s="111" t="s">
        <v>2065</v>
      </c>
      <c r="C58" s="111" t="s">
        <v>2074</v>
      </c>
      <c r="D58" s="111" t="s">
        <v>2067</v>
      </c>
      <c r="E58" s="112"/>
      <c r="F58" s="117" t="s">
        <v>263</v>
      </c>
      <c r="G58" s="154">
        <v>5</v>
      </c>
      <c r="H58" s="154">
        <v>5</v>
      </c>
    </row>
    <row r="59" spans="1:8" ht="30" customHeight="1" x14ac:dyDescent="0.3">
      <c r="A59" s="111">
        <f t="shared" si="0"/>
        <v>56</v>
      </c>
      <c r="B59" s="111" t="s">
        <v>2065</v>
      </c>
      <c r="C59" s="111" t="s">
        <v>2075</v>
      </c>
      <c r="D59" s="111" t="s">
        <v>2067</v>
      </c>
      <c r="E59" s="112"/>
      <c r="F59" s="117" t="s">
        <v>263</v>
      </c>
      <c r="G59" s="154">
        <v>5</v>
      </c>
      <c r="H59" s="154">
        <v>5</v>
      </c>
    </row>
    <row r="60" spans="1:8" ht="30" customHeight="1" x14ac:dyDescent="0.3">
      <c r="A60" s="111">
        <f t="shared" si="0"/>
        <v>57</v>
      </c>
      <c r="B60" s="111" t="s">
        <v>2065</v>
      </c>
      <c r="C60" s="111" t="s">
        <v>2076</v>
      </c>
      <c r="D60" s="111" t="s">
        <v>2067</v>
      </c>
      <c r="E60" s="112"/>
      <c r="F60" s="117" t="s">
        <v>263</v>
      </c>
      <c r="G60" s="154">
        <v>5</v>
      </c>
      <c r="H60" s="154">
        <v>5</v>
      </c>
    </row>
    <row r="61" spans="1:8" ht="30" customHeight="1" x14ac:dyDescent="0.3">
      <c r="A61" s="111">
        <f t="shared" si="0"/>
        <v>58</v>
      </c>
      <c r="B61" s="111" t="s">
        <v>2065</v>
      </c>
      <c r="C61" s="111" t="s">
        <v>2077</v>
      </c>
      <c r="D61" s="111" t="s">
        <v>2067</v>
      </c>
      <c r="E61" s="112"/>
      <c r="F61" s="117" t="s">
        <v>263</v>
      </c>
      <c r="G61" s="154">
        <v>5</v>
      </c>
      <c r="H61" s="154">
        <v>5</v>
      </c>
    </row>
    <row r="62" spans="1:8" ht="30" customHeight="1" x14ac:dyDescent="0.3">
      <c r="A62" s="111">
        <f t="shared" si="0"/>
        <v>59</v>
      </c>
      <c r="B62" s="111" t="s">
        <v>2065</v>
      </c>
      <c r="C62" s="111" t="s">
        <v>2030</v>
      </c>
      <c r="D62" s="111" t="s">
        <v>2067</v>
      </c>
      <c r="E62" s="112"/>
      <c r="F62" s="117" t="s">
        <v>264</v>
      </c>
      <c r="G62" s="154">
        <v>5</v>
      </c>
      <c r="H62" s="154">
        <v>5</v>
      </c>
    </row>
    <row r="63" spans="1:8" ht="30" customHeight="1" x14ac:dyDescent="0.3">
      <c r="A63" s="111">
        <f t="shared" si="0"/>
        <v>60</v>
      </c>
      <c r="B63" s="111" t="s">
        <v>2078</v>
      </c>
      <c r="C63" s="111" t="s">
        <v>2029</v>
      </c>
      <c r="D63" s="111" t="s">
        <v>2079</v>
      </c>
      <c r="E63" s="112"/>
      <c r="F63" s="117" t="s">
        <v>263</v>
      </c>
      <c r="G63" s="154">
        <v>5</v>
      </c>
      <c r="H63" s="154">
        <v>5</v>
      </c>
    </row>
    <row r="64" spans="1:8" ht="30" customHeight="1" x14ac:dyDescent="0.3">
      <c r="A64" s="111">
        <f t="shared" si="0"/>
        <v>61</v>
      </c>
      <c r="B64" s="111" t="s">
        <v>2078</v>
      </c>
      <c r="C64" s="111" t="s">
        <v>2066</v>
      </c>
      <c r="D64" s="111" t="s">
        <v>2080</v>
      </c>
      <c r="E64" s="112"/>
      <c r="F64" s="117" t="s">
        <v>263</v>
      </c>
      <c r="G64" s="154">
        <v>5</v>
      </c>
      <c r="H64" s="154">
        <v>5</v>
      </c>
    </row>
    <row r="65" spans="1:8" ht="30" customHeight="1" x14ac:dyDescent="0.3">
      <c r="A65" s="111">
        <f t="shared" si="0"/>
        <v>62</v>
      </c>
      <c r="B65" s="111" t="s">
        <v>2081</v>
      </c>
      <c r="C65" s="111" t="s">
        <v>2029</v>
      </c>
      <c r="D65" s="111" t="s">
        <v>2082</v>
      </c>
      <c r="E65" s="112"/>
      <c r="F65" s="117" t="s">
        <v>263</v>
      </c>
      <c r="G65" s="154">
        <v>5</v>
      </c>
      <c r="H65" s="154">
        <v>5</v>
      </c>
    </row>
    <row r="66" spans="1:8" ht="30" customHeight="1" x14ac:dyDescent="0.3">
      <c r="A66" s="111">
        <f t="shared" si="0"/>
        <v>63</v>
      </c>
      <c r="B66" s="111" t="s">
        <v>2083</v>
      </c>
      <c r="C66" s="111" t="s">
        <v>2029</v>
      </c>
      <c r="D66" s="111" t="s">
        <v>2084</v>
      </c>
      <c r="E66" s="112"/>
      <c r="F66" s="117" t="s">
        <v>263</v>
      </c>
      <c r="G66" s="154">
        <v>5</v>
      </c>
      <c r="H66" s="154">
        <v>5</v>
      </c>
    </row>
    <row r="67" spans="1:8" ht="30" customHeight="1" x14ac:dyDescent="0.3">
      <c r="A67" s="111">
        <f t="shared" si="0"/>
        <v>64</v>
      </c>
      <c r="B67" s="111" t="s">
        <v>2083</v>
      </c>
      <c r="C67" s="111" t="s">
        <v>2027</v>
      </c>
      <c r="D67" s="111" t="s">
        <v>2084</v>
      </c>
      <c r="E67" s="112"/>
      <c r="F67" s="117" t="s">
        <v>263</v>
      </c>
      <c r="G67" s="154">
        <v>5</v>
      </c>
      <c r="H67" s="154">
        <v>5</v>
      </c>
    </row>
    <row r="68" spans="1:8" ht="30" customHeight="1" x14ac:dyDescent="0.3">
      <c r="A68" s="111">
        <f t="shared" si="0"/>
        <v>65</v>
      </c>
      <c r="B68" s="111"/>
      <c r="C68" s="111" t="s">
        <v>2030</v>
      </c>
      <c r="D68" s="111" t="s">
        <v>2085</v>
      </c>
      <c r="E68" s="112"/>
      <c r="F68" s="117" t="s">
        <v>264</v>
      </c>
      <c r="G68" s="154">
        <v>5</v>
      </c>
      <c r="H68" s="154">
        <v>5</v>
      </c>
    </row>
    <row r="69" spans="1:8" ht="30" customHeight="1" x14ac:dyDescent="0.3">
      <c r="A69" s="111">
        <f t="shared" si="0"/>
        <v>66</v>
      </c>
      <c r="B69" s="111"/>
      <c r="C69" s="111" t="s">
        <v>2030</v>
      </c>
      <c r="D69" s="111" t="s">
        <v>2086</v>
      </c>
      <c r="E69" s="112"/>
      <c r="F69" s="117" t="s">
        <v>264</v>
      </c>
      <c r="G69" s="154">
        <v>5</v>
      </c>
      <c r="H69" s="154">
        <v>4</v>
      </c>
    </row>
    <row r="70" spans="1:8" ht="30" customHeight="1" x14ac:dyDescent="0.3">
      <c r="A70" s="111">
        <f t="shared" ref="A70:A87" si="1">A69+1</f>
        <v>67</v>
      </c>
      <c r="B70" s="111"/>
      <c r="C70" s="111" t="s">
        <v>2030</v>
      </c>
      <c r="D70" s="111" t="s">
        <v>2087</v>
      </c>
      <c r="E70" s="112"/>
      <c r="F70" s="117" t="s">
        <v>264</v>
      </c>
      <c r="G70" s="154">
        <v>5</v>
      </c>
      <c r="H70" s="154">
        <v>4</v>
      </c>
    </row>
    <row r="71" spans="1:8" ht="30" customHeight="1" x14ac:dyDescent="0.3">
      <c r="A71" s="111">
        <f t="shared" si="1"/>
        <v>68</v>
      </c>
      <c r="B71" s="111"/>
      <c r="C71" s="111" t="s">
        <v>2030</v>
      </c>
      <c r="D71" s="111" t="s">
        <v>2088</v>
      </c>
      <c r="E71" s="112"/>
      <c r="F71" s="117" t="s">
        <v>264</v>
      </c>
      <c r="G71" s="154">
        <v>1</v>
      </c>
      <c r="H71" s="154">
        <v>1</v>
      </c>
    </row>
    <row r="72" spans="1:8" ht="30" customHeight="1" x14ac:dyDescent="0.3">
      <c r="A72" s="111">
        <f t="shared" si="1"/>
        <v>69</v>
      </c>
      <c r="B72" s="111"/>
      <c r="C72" s="111" t="s">
        <v>2030</v>
      </c>
      <c r="D72" s="111" t="s">
        <v>2089</v>
      </c>
      <c r="E72" s="112"/>
      <c r="F72" s="117" t="s">
        <v>264</v>
      </c>
      <c r="G72" s="154">
        <v>5</v>
      </c>
      <c r="H72" s="154">
        <v>5</v>
      </c>
    </row>
    <row r="73" spans="1:8" ht="30" customHeight="1" x14ac:dyDescent="0.3">
      <c r="A73" s="111">
        <f t="shared" si="1"/>
        <v>70</v>
      </c>
      <c r="B73" s="111"/>
      <c r="C73" s="111" t="s">
        <v>2030</v>
      </c>
      <c r="D73" s="111" t="s">
        <v>2090</v>
      </c>
      <c r="E73" s="112"/>
      <c r="F73" s="117" t="s">
        <v>264</v>
      </c>
      <c r="G73" s="154">
        <v>3</v>
      </c>
      <c r="H73" s="154">
        <v>3</v>
      </c>
    </row>
    <row r="74" spans="1:8" ht="30" customHeight="1" x14ac:dyDescent="0.3">
      <c r="A74" s="111">
        <f t="shared" si="1"/>
        <v>71</v>
      </c>
      <c r="B74" s="111"/>
      <c r="C74" s="111" t="s">
        <v>2030</v>
      </c>
      <c r="D74" s="111" t="s">
        <v>2091</v>
      </c>
      <c r="E74" s="112"/>
      <c r="F74" s="117" t="s">
        <v>264</v>
      </c>
      <c r="G74" s="154">
        <v>4</v>
      </c>
      <c r="H74" s="154">
        <v>3</v>
      </c>
    </row>
    <row r="75" spans="1:8" ht="30" customHeight="1" x14ac:dyDescent="0.3">
      <c r="A75" s="111">
        <f t="shared" si="1"/>
        <v>72</v>
      </c>
      <c r="B75" s="111"/>
      <c r="C75" s="111" t="s">
        <v>2030</v>
      </c>
      <c r="D75" s="111" t="s">
        <v>2092</v>
      </c>
      <c r="E75" s="112"/>
      <c r="F75" s="117" t="s">
        <v>264</v>
      </c>
      <c r="G75" s="154">
        <v>4</v>
      </c>
      <c r="H75" s="154">
        <v>4</v>
      </c>
    </row>
    <row r="76" spans="1:8" ht="30" customHeight="1" x14ac:dyDescent="0.3">
      <c r="A76" s="111">
        <f t="shared" si="1"/>
        <v>73</v>
      </c>
      <c r="B76" s="111"/>
      <c r="C76" s="111" t="s">
        <v>2029</v>
      </c>
      <c r="D76" s="111" t="s">
        <v>1253</v>
      </c>
      <c r="E76" s="112"/>
      <c r="F76" s="117" t="s">
        <v>263</v>
      </c>
      <c r="G76" s="154">
        <v>5</v>
      </c>
      <c r="H76" s="154">
        <v>5</v>
      </c>
    </row>
    <row r="77" spans="1:8" ht="30" customHeight="1" x14ac:dyDescent="0.3">
      <c r="A77" s="111">
        <f t="shared" si="1"/>
        <v>74</v>
      </c>
      <c r="B77" s="111"/>
      <c r="C77" s="111" t="s">
        <v>2030</v>
      </c>
      <c r="D77" s="111" t="s">
        <v>1253</v>
      </c>
      <c r="E77" s="112"/>
      <c r="F77" s="117" t="s">
        <v>264</v>
      </c>
      <c r="G77" s="154">
        <v>4</v>
      </c>
      <c r="H77" s="154">
        <v>4</v>
      </c>
    </row>
    <row r="78" spans="1:8" ht="30" customHeight="1" x14ac:dyDescent="0.3">
      <c r="A78" s="111">
        <f t="shared" si="1"/>
        <v>75</v>
      </c>
      <c r="B78" s="111"/>
      <c r="C78" s="111" t="s">
        <v>2029</v>
      </c>
      <c r="D78" s="111" t="s">
        <v>2089</v>
      </c>
      <c r="E78" s="112"/>
      <c r="F78" s="117" t="s">
        <v>263</v>
      </c>
      <c r="G78" s="154">
        <v>5</v>
      </c>
      <c r="H78" s="154">
        <v>5</v>
      </c>
    </row>
    <row r="79" spans="1:8" ht="30" customHeight="1" x14ac:dyDescent="0.3">
      <c r="A79" s="111">
        <f t="shared" si="1"/>
        <v>76</v>
      </c>
      <c r="B79" s="111"/>
      <c r="C79" s="111" t="s">
        <v>2030</v>
      </c>
      <c r="D79" s="111" t="s">
        <v>2089</v>
      </c>
      <c r="E79" s="112"/>
      <c r="F79" s="117" t="s">
        <v>264</v>
      </c>
      <c r="G79" s="154">
        <v>5</v>
      </c>
      <c r="H79" s="154">
        <v>5</v>
      </c>
    </row>
    <row r="80" spans="1:8" ht="30" customHeight="1" x14ac:dyDescent="0.3">
      <c r="A80" s="111">
        <f t="shared" si="1"/>
        <v>77</v>
      </c>
      <c r="B80" s="111"/>
      <c r="C80" s="111" t="s">
        <v>2029</v>
      </c>
      <c r="D80" s="111" t="s">
        <v>2093</v>
      </c>
      <c r="E80" s="112"/>
      <c r="F80" s="117" t="s">
        <v>263</v>
      </c>
      <c r="G80" s="154">
        <v>5</v>
      </c>
      <c r="H80" s="154">
        <v>5</v>
      </c>
    </row>
    <row r="81" spans="1:8" ht="30" customHeight="1" x14ac:dyDescent="0.3">
      <c r="A81" s="111">
        <f t="shared" si="1"/>
        <v>78</v>
      </c>
      <c r="B81" s="111"/>
      <c r="C81" s="111" t="s">
        <v>2030</v>
      </c>
      <c r="D81" s="111" t="s">
        <v>2093</v>
      </c>
      <c r="E81" s="112"/>
      <c r="F81" s="117" t="s">
        <v>264</v>
      </c>
      <c r="G81" s="154">
        <v>4</v>
      </c>
      <c r="H81" s="154">
        <v>4</v>
      </c>
    </row>
    <row r="82" spans="1:8" ht="30" customHeight="1" x14ac:dyDescent="0.3">
      <c r="A82" s="111">
        <f t="shared" si="1"/>
        <v>79</v>
      </c>
      <c r="B82" s="111"/>
      <c r="C82" s="111" t="s">
        <v>2029</v>
      </c>
      <c r="D82" s="111" t="s">
        <v>2094</v>
      </c>
      <c r="E82" s="112"/>
      <c r="F82" s="117" t="s">
        <v>263</v>
      </c>
      <c r="G82" s="154">
        <v>5</v>
      </c>
      <c r="H82" s="154">
        <v>5</v>
      </c>
    </row>
    <row r="83" spans="1:8" ht="30" customHeight="1" x14ac:dyDescent="0.3">
      <c r="A83" s="111">
        <f t="shared" si="1"/>
        <v>80</v>
      </c>
      <c r="B83" s="111"/>
      <c r="C83" s="111" t="s">
        <v>2030</v>
      </c>
      <c r="D83" s="111" t="s">
        <v>2094</v>
      </c>
      <c r="E83" s="112"/>
      <c r="F83" s="117" t="s">
        <v>264</v>
      </c>
      <c r="G83" s="154">
        <v>4</v>
      </c>
      <c r="H83" s="154">
        <v>3</v>
      </c>
    </row>
    <row r="84" spans="1:8" ht="30" customHeight="1" x14ac:dyDescent="0.3">
      <c r="A84" s="111">
        <f t="shared" si="1"/>
        <v>81</v>
      </c>
      <c r="B84" s="111"/>
      <c r="C84" s="111" t="s">
        <v>2029</v>
      </c>
      <c r="D84" s="111" t="s">
        <v>2095</v>
      </c>
      <c r="E84" s="112"/>
      <c r="F84" s="117" t="s">
        <v>263</v>
      </c>
      <c r="G84" s="154">
        <v>4</v>
      </c>
      <c r="H84" s="154">
        <v>4</v>
      </c>
    </row>
    <row r="85" spans="1:8" ht="30" customHeight="1" x14ac:dyDescent="0.3">
      <c r="A85" s="111">
        <f t="shared" si="1"/>
        <v>82</v>
      </c>
      <c r="B85" s="111"/>
      <c r="C85" s="111" t="s">
        <v>2030</v>
      </c>
      <c r="D85" s="111" t="s">
        <v>2095</v>
      </c>
      <c r="E85" s="112"/>
      <c r="F85" s="117" t="s">
        <v>264</v>
      </c>
      <c r="G85" s="154">
        <v>5</v>
      </c>
      <c r="H85" s="154">
        <v>5</v>
      </c>
    </row>
    <row r="86" spans="1:8" ht="30" customHeight="1" x14ac:dyDescent="0.3">
      <c r="A86" s="111">
        <f t="shared" si="1"/>
        <v>83</v>
      </c>
      <c r="B86" s="111"/>
      <c r="C86" s="111" t="s">
        <v>2029</v>
      </c>
      <c r="D86" s="111" t="s">
        <v>1986</v>
      </c>
      <c r="E86" s="112"/>
      <c r="F86" s="117" t="s">
        <v>263</v>
      </c>
      <c r="G86" s="154">
        <v>5</v>
      </c>
      <c r="H86" s="154">
        <v>5</v>
      </c>
    </row>
    <row r="87" spans="1:8" ht="30" customHeight="1" x14ac:dyDescent="0.3">
      <c r="A87" s="111">
        <f t="shared" si="1"/>
        <v>84</v>
      </c>
      <c r="B87" s="111"/>
      <c r="C87" s="111" t="s">
        <v>2030</v>
      </c>
      <c r="D87" s="111" t="s">
        <v>1986</v>
      </c>
      <c r="E87" s="112"/>
      <c r="F87" s="117" t="s">
        <v>264</v>
      </c>
      <c r="G87" s="154">
        <v>5</v>
      </c>
      <c r="H87" s="154">
        <v>5</v>
      </c>
    </row>
    <row r="88" spans="1:8" ht="25" customHeight="1" x14ac:dyDescent="0.3">
      <c r="A88" s="111"/>
      <c r="B88" s="111"/>
      <c r="C88" s="111"/>
      <c r="D88" s="111"/>
      <c r="E88" s="112"/>
      <c r="F88" s="117"/>
      <c r="G88" s="119"/>
      <c r="H88" s="119"/>
    </row>
    <row r="89" spans="1:8" ht="25" customHeight="1" x14ac:dyDescent="0.3">
      <c r="A89" s="111"/>
      <c r="B89" s="111"/>
      <c r="C89" s="111"/>
      <c r="D89" s="111"/>
      <c r="E89" s="112"/>
      <c r="F89" s="117"/>
      <c r="G89" s="119"/>
      <c r="H89" s="119"/>
    </row>
    <row r="90" spans="1:8" ht="25" customHeight="1" x14ac:dyDescent="0.3">
      <c r="A90" s="111"/>
      <c r="B90" s="111"/>
      <c r="C90" s="111"/>
      <c r="D90" s="111"/>
      <c r="E90" s="112"/>
      <c r="F90" s="117"/>
      <c r="G90" s="119"/>
      <c r="H90" s="119"/>
    </row>
    <row r="91" spans="1:8" ht="25" customHeight="1" x14ac:dyDescent="0.3">
      <c r="A91" s="111"/>
      <c r="B91" s="111"/>
      <c r="C91" s="111"/>
      <c r="D91" s="111"/>
      <c r="E91" s="112"/>
      <c r="F91" s="117"/>
      <c r="G91" s="119"/>
      <c r="H91" s="119"/>
    </row>
    <row r="92" spans="1:8" ht="25" customHeight="1" x14ac:dyDescent="0.3">
      <c r="A92" s="111"/>
      <c r="B92" s="111"/>
      <c r="C92" s="111"/>
      <c r="D92" s="111"/>
      <c r="E92" s="112"/>
      <c r="F92" s="117"/>
      <c r="G92" s="119"/>
      <c r="H92" s="119"/>
    </row>
    <row r="93" spans="1:8" ht="25" customHeight="1" x14ac:dyDescent="0.3">
      <c r="A93" s="111"/>
      <c r="B93" s="111"/>
      <c r="C93" s="111"/>
      <c r="D93" s="111"/>
      <c r="E93" s="112"/>
      <c r="F93" s="117"/>
      <c r="G93" s="119"/>
      <c r="H93" s="119"/>
    </row>
    <row r="94" spans="1:8" ht="25" customHeight="1" x14ac:dyDescent="0.3">
      <c r="A94" s="111"/>
      <c r="B94" s="111"/>
      <c r="C94" s="111"/>
      <c r="D94" s="111"/>
      <c r="E94" s="112"/>
      <c r="F94" s="117"/>
      <c r="G94" s="119"/>
      <c r="H94" s="119"/>
    </row>
    <row r="95" spans="1:8" ht="25" customHeight="1" x14ac:dyDescent="0.3">
      <c r="A95" s="111"/>
      <c r="B95" s="111"/>
      <c r="C95" s="111"/>
      <c r="D95" s="111"/>
      <c r="E95" s="112"/>
      <c r="F95" s="117"/>
      <c r="G95" s="119"/>
      <c r="H95" s="119"/>
    </row>
    <row r="96" spans="1:8" ht="25" customHeight="1" x14ac:dyDescent="0.3">
      <c r="A96" s="111"/>
      <c r="B96" s="111"/>
      <c r="C96" s="111"/>
      <c r="D96" s="111"/>
      <c r="E96" s="112"/>
      <c r="F96" s="117"/>
      <c r="G96" s="119"/>
      <c r="H96" s="119"/>
    </row>
    <row r="97" spans="1:8" ht="25" customHeight="1" x14ac:dyDescent="0.3">
      <c r="A97" s="111"/>
      <c r="B97" s="111"/>
      <c r="C97" s="111"/>
      <c r="D97" s="111"/>
      <c r="E97" s="112"/>
      <c r="F97" s="117"/>
      <c r="G97" s="119"/>
      <c r="H97" s="119"/>
    </row>
    <row r="98" spans="1:8" ht="25" customHeight="1" x14ac:dyDescent="0.3">
      <c r="A98" s="111"/>
      <c r="B98" s="111"/>
      <c r="C98" s="111"/>
      <c r="D98" s="111"/>
      <c r="E98" s="112"/>
      <c r="F98" s="117"/>
      <c r="G98" s="119"/>
      <c r="H98" s="119"/>
    </row>
    <row r="99" spans="1:8" ht="25" customHeight="1" x14ac:dyDescent="0.3">
      <c r="A99" s="111"/>
      <c r="B99" s="111"/>
      <c r="C99" s="111"/>
      <c r="D99" s="111"/>
      <c r="E99" s="112"/>
      <c r="F99" s="117"/>
      <c r="G99" s="119"/>
      <c r="H99" s="119"/>
    </row>
    <row r="100" spans="1:8" ht="25" customHeight="1" x14ac:dyDescent="0.3">
      <c r="A100" s="111"/>
      <c r="B100" s="111"/>
      <c r="C100" s="111"/>
      <c r="D100" s="111"/>
      <c r="E100" s="112"/>
      <c r="F100" s="117"/>
      <c r="G100" s="119"/>
      <c r="H100" s="119"/>
    </row>
    <row r="101" spans="1:8" ht="25" customHeight="1" x14ac:dyDescent="0.3">
      <c r="A101" s="111"/>
      <c r="B101" s="111"/>
      <c r="C101" s="111"/>
      <c r="D101" s="111"/>
      <c r="E101" s="112"/>
      <c r="F101" s="117"/>
      <c r="G101" s="119"/>
      <c r="H101" s="119"/>
    </row>
    <row r="102" spans="1:8" ht="25" customHeight="1" x14ac:dyDescent="0.3">
      <c r="A102" s="111"/>
      <c r="B102" s="111"/>
      <c r="C102" s="111"/>
      <c r="D102" s="111"/>
      <c r="E102" s="112"/>
      <c r="F102" s="117"/>
      <c r="G102" s="119"/>
      <c r="H102" s="119"/>
    </row>
    <row r="103" spans="1:8" ht="25" customHeight="1" x14ac:dyDescent="0.3">
      <c r="A103" s="111"/>
      <c r="B103" s="111"/>
      <c r="C103" s="111"/>
      <c r="D103" s="111"/>
      <c r="E103" s="112"/>
      <c r="F103" s="117"/>
      <c r="G103" s="119"/>
      <c r="H103" s="119"/>
    </row>
    <row r="104" spans="1:8" ht="25" customHeight="1" x14ac:dyDescent="0.3">
      <c r="A104" s="111"/>
      <c r="B104" s="111"/>
      <c r="C104" s="111"/>
      <c r="D104" s="111"/>
      <c r="E104" s="112"/>
      <c r="F104" s="117"/>
      <c r="G104" s="119"/>
      <c r="H104" s="119"/>
    </row>
    <row r="105" spans="1:8" ht="25" customHeight="1" x14ac:dyDescent="0.3">
      <c r="A105" s="111"/>
      <c r="B105" s="111"/>
      <c r="C105" s="111"/>
      <c r="D105" s="111"/>
      <c r="E105" s="112"/>
      <c r="F105" s="117"/>
      <c r="G105" s="119"/>
      <c r="H105" s="119"/>
    </row>
    <row r="106" spans="1:8" ht="25" customHeight="1" x14ac:dyDescent="0.3">
      <c r="A106" s="111"/>
      <c r="B106" s="111"/>
      <c r="C106" s="111"/>
      <c r="D106" s="111"/>
      <c r="E106" s="112"/>
      <c r="F106" s="117"/>
      <c r="G106" s="119"/>
      <c r="H106" s="119"/>
    </row>
    <row r="107" spans="1:8" ht="25" customHeight="1" x14ac:dyDescent="0.3">
      <c r="A107" s="111"/>
      <c r="B107" s="111"/>
      <c r="C107" s="111"/>
      <c r="D107" s="111"/>
      <c r="E107" s="112"/>
      <c r="F107" s="117"/>
      <c r="G107" s="119"/>
      <c r="H107" s="119"/>
    </row>
    <row r="108" spans="1:8" ht="25" customHeight="1" x14ac:dyDescent="0.3">
      <c r="A108" s="111"/>
      <c r="B108" s="111"/>
      <c r="C108" s="111"/>
      <c r="D108" s="111"/>
      <c r="E108" s="112"/>
      <c r="F108" s="117"/>
      <c r="G108" s="119"/>
      <c r="H108" s="119"/>
    </row>
    <row r="109" spans="1:8" ht="25" customHeight="1" x14ac:dyDescent="0.3">
      <c r="A109" s="111"/>
      <c r="B109" s="111"/>
      <c r="C109" s="111"/>
      <c r="D109" s="111"/>
      <c r="E109" s="112"/>
      <c r="F109" s="117"/>
      <c r="G109" s="119"/>
      <c r="H109" s="119"/>
    </row>
    <row r="110" spans="1:8" ht="25" customHeight="1" x14ac:dyDescent="0.3">
      <c r="A110" s="111"/>
      <c r="B110" s="111"/>
      <c r="C110" s="111"/>
      <c r="D110" s="111"/>
      <c r="E110" s="112"/>
      <c r="F110" s="117"/>
      <c r="G110" s="119"/>
      <c r="H110" s="119"/>
    </row>
    <row r="111" spans="1:8" ht="25" customHeight="1" x14ac:dyDescent="0.3">
      <c r="A111" s="111"/>
      <c r="B111" s="111"/>
      <c r="C111" s="111"/>
      <c r="D111" s="111"/>
      <c r="E111" s="112"/>
      <c r="F111" s="117"/>
      <c r="G111" s="119"/>
      <c r="H111" s="119"/>
    </row>
    <row r="112" spans="1:8" ht="25" customHeight="1" x14ac:dyDescent="0.3">
      <c r="A112" s="111"/>
      <c r="B112" s="111"/>
      <c r="C112" s="111"/>
      <c r="D112" s="111"/>
      <c r="E112" s="112"/>
      <c r="F112" s="117"/>
      <c r="G112" s="119"/>
      <c r="H112" s="119"/>
    </row>
    <row r="113" spans="1:8" ht="25" customHeight="1" x14ac:dyDescent="0.3">
      <c r="A113" s="111"/>
      <c r="B113" s="111"/>
      <c r="C113" s="111"/>
      <c r="D113" s="111"/>
      <c r="E113" s="112"/>
      <c r="F113" s="117"/>
      <c r="G113" s="119"/>
      <c r="H113" s="119"/>
    </row>
    <row r="114" spans="1:8" ht="25" customHeight="1" x14ac:dyDescent="0.3">
      <c r="A114" s="111"/>
      <c r="B114" s="111"/>
      <c r="C114" s="111"/>
      <c r="D114" s="111"/>
      <c r="E114" s="112"/>
      <c r="F114" s="117"/>
      <c r="G114" s="119"/>
      <c r="H114" s="119"/>
    </row>
    <row r="115" spans="1:8" ht="25" customHeight="1" x14ac:dyDescent="0.3">
      <c r="A115" s="111"/>
      <c r="B115" s="111"/>
      <c r="C115" s="111"/>
      <c r="D115" s="111"/>
      <c r="E115" s="112"/>
      <c r="F115" s="117"/>
      <c r="G115" s="119"/>
      <c r="H115" s="119"/>
    </row>
    <row r="116" spans="1:8" ht="25" customHeight="1" x14ac:dyDescent="0.3">
      <c r="A116" s="111"/>
      <c r="B116" s="111"/>
      <c r="C116" s="111"/>
      <c r="D116" s="111"/>
      <c r="E116" s="112"/>
      <c r="F116" s="117"/>
      <c r="G116" s="119"/>
      <c r="H116" s="119"/>
    </row>
    <row r="117" spans="1:8" ht="25" customHeight="1" x14ac:dyDescent="0.3">
      <c r="A117" s="111"/>
      <c r="B117" s="111"/>
      <c r="C117" s="111"/>
      <c r="D117" s="111"/>
      <c r="E117" s="112"/>
      <c r="F117" s="117"/>
      <c r="G117" s="119"/>
      <c r="H117" s="119"/>
    </row>
    <row r="118" spans="1:8" ht="25" customHeight="1" x14ac:dyDescent="0.3">
      <c r="A118" s="111"/>
      <c r="B118" s="111"/>
      <c r="C118" s="111"/>
      <c r="D118" s="111"/>
      <c r="E118" s="112"/>
      <c r="F118" s="117"/>
      <c r="G118" s="119"/>
      <c r="H118" s="119"/>
    </row>
    <row r="119" spans="1:8" ht="25" customHeight="1" x14ac:dyDescent="0.3">
      <c r="A119" s="111"/>
      <c r="B119" s="111"/>
      <c r="C119" s="111"/>
      <c r="D119" s="111"/>
      <c r="E119" s="112"/>
      <c r="F119" s="117"/>
      <c r="G119" s="119"/>
      <c r="H119" s="119"/>
    </row>
    <row r="120" spans="1:8" ht="25" customHeight="1" x14ac:dyDescent="0.3">
      <c r="A120" s="111"/>
      <c r="B120" s="111"/>
      <c r="C120" s="111"/>
      <c r="D120" s="111"/>
      <c r="E120" s="112"/>
      <c r="F120" s="117"/>
      <c r="G120" s="119"/>
      <c r="H120" s="119"/>
    </row>
    <row r="121" spans="1:8" ht="25" customHeight="1" x14ac:dyDescent="0.3">
      <c r="A121" s="111"/>
      <c r="B121" s="111"/>
      <c r="C121" s="111"/>
      <c r="D121" s="111"/>
      <c r="E121" s="112"/>
      <c r="F121" s="117"/>
      <c r="G121" s="119"/>
      <c r="H121" s="119"/>
    </row>
    <row r="122" spans="1:8" ht="25" customHeight="1" x14ac:dyDescent="0.3">
      <c r="A122" s="111"/>
      <c r="B122" s="111"/>
      <c r="C122" s="111"/>
      <c r="D122" s="111"/>
      <c r="E122" s="112"/>
      <c r="F122" s="117"/>
      <c r="G122" s="119"/>
      <c r="H122" s="119"/>
    </row>
    <row r="123" spans="1:8" ht="25" customHeight="1" x14ac:dyDescent="0.3">
      <c r="A123" s="111"/>
      <c r="B123" s="111"/>
      <c r="C123" s="111"/>
      <c r="D123" s="111"/>
      <c r="E123" s="112"/>
      <c r="F123" s="117"/>
      <c r="G123" s="119"/>
      <c r="H123" s="119"/>
    </row>
    <row r="124" spans="1:8" ht="25" customHeight="1" x14ac:dyDescent="0.3">
      <c r="A124" s="111"/>
      <c r="B124" s="111"/>
      <c r="C124" s="111"/>
      <c r="D124" s="111"/>
      <c r="E124" s="112"/>
      <c r="F124" s="117"/>
      <c r="G124" s="119"/>
      <c r="H124" s="119"/>
    </row>
    <row r="125" spans="1:8" ht="25" customHeight="1" x14ac:dyDescent="0.3">
      <c r="A125" s="111"/>
      <c r="B125" s="111"/>
      <c r="C125" s="111"/>
      <c r="D125" s="111"/>
      <c r="E125" s="112"/>
      <c r="F125" s="117"/>
      <c r="G125" s="119"/>
      <c r="H125" s="119"/>
    </row>
    <row r="126" spans="1:8" ht="25" customHeight="1" x14ac:dyDescent="0.3">
      <c r="A126" s="111"/>
      <c r="B126" s="111"/>
      <c r="C126" s="111"/>
      <c r="D126" s="111"/>
      <c r="E126" s="112"/>
      <c r="F126" s="117"/>
      <c r="G126" s="119"/>
      <c r="H126" s="119"/>
    </row>
    <row r="127" spans="1:8" ht="25" customHeight="1" x14ac:dyDescent="0.3">
      <c r="A127" s="111"/>
      <c r="B127" s="111"/>
      <c r="C127" s="111"/>
      <c r="D127" s="111"/>
      <c r="E127" s="112"/>
      <c r="F127" s="117"/>
      <c r="G127" s="119"/>
      <c r="H127" s="119"/>
    </row>
    <row r="128" spans="1:8" ht="25" customHeight="1" x14ac:dyDescent="0.3">
      <c r="A128" s="111"/>
      <c r="B128" s="111"/>
      <c r="C128" s="111"/>
      <c r="D128" s="111"/>
      <c r="E128" s="112"/>
      <c r="F128" s="117"/>
      <c r="G128" s="119"/>
      <c r="H128" s="119"/>
    </row>
    <row r="129" spans="1:8" ht="25" customHeight="1" x14ac:dyDescent="0.3">
      <c r="A129" s="111"/>
      <c r="B129" s="111"/>
      <c r="C129" s="111"/>
      <c r="D129" s="111"/>
      <c r="E129" s="112"/>
      <c r="F129" s="117"/>
      <c r="G129" s="119"/>
      <c r="H129" s="119"/>
    </row>
    <row r="130" spans="1:8" ht="25" customHeight="1" x14ac:dyDescent="0.3">
      <c r="A130" s="111"/>
      <c r="B130" s="111"/>
      <c r="C130" s="111"/>
      <c r="D130" s="111"/>
      <c r="E130" s="112"/>
      <c r="F130" s="117"/>
      <c r="G130" s="119"/>
      <c r="H130" s="119"/>
    </row>
    <row r="131" spans="1:8" ht="25" customHeight="1" x14ac:dyDescent="0.3">
      <c r="A131" s="111"/>
      <c r="B131" s="111"/>
      <c r="C131" s="111"/>
      <c r="D131" s="111"/>
      <c r="E131" s="112"/>
      <c r="F131" s="117"/>
      <c r="G131" s="119"/>
      <c r="H131" s="119"/>
    </row>
    <row r="132" spans="1:8" ht="25" customHeight="1" x14ac:dyDescent="0.3">
      <c r="A132" s="111"/>
      <c r="B132" s="111"/>
      <c r="C132" s="111"/>
      <c r="D132" s="111"/>
      <c r="E132" s="112"/>
      <c r="F132" s="117"/>
      <c r="G132" s="119"/>
      <c r="H132" s="119"/>
    </row>
    <row r="133" spans="1:8" ht="25" customHeight="1" x14ac:dyDescent="0.3">
      <c r="A133" s="111"/>
      <c r="B133" s="111"/>
      <c r="C133" s="111"/>
      <c r="D133" s="111"/>
      <c r="E133" s="112"/>
      <c r="F133" s="117"/>
      <c r="G133" s="119"/>
      <c r="H133" s="119"/>
    </row>
    <row r="134" spans="1:8" ht="25" customHeight="1" x14ac:dyDescent="0.3">
      <c r="A134" s="111"/>
      <c r="B134" s="111"/>
      <c r="C134" s="111"/>
      <c r="D134" s="111"/>
      <c r="E134" s="112"/>
      <c r="F134" s="117"/>
      <c r="G134" s="119"/>
      <c r="H134" s="119"/>
    </row>
    <row r="135" spans="1:8" ht="25" customHeight="1" x14ac:dyDescent="0.3">
      <c r="A135" s="111"/>
      <c r="B135" s="111"/>
      <c r="C135" s="111"/>
      <c r="D135" s="111"/>
      <c r="E135" s="112"/>
      <c r="F135" s="117"/>
      <c r="G135" s="119"/>
      <c r="H135" s="119"/>
    </row>
    <row r="136" spans="1:8" ht="25" customHeight="1" x14ac:dyDescent="0.3">
      <c r="A136" s="111"/>
      <c r="B136" s="111"/>
      <c r="C136" s="111"/>
      <c r="D136" s="111"/>
      <c r="E136" s="112"/>
      <c r="F136" s="117"/>
      <c r="G136" s="119"/>
      <c r="H136" s="119"/>
    </row>
    <row r="137" spans="1:8" ht="25" customHeight="1" x14ac:dyDescent="0.3">
      <c r="A137" s="111"/>
      <c r="B137" s="111"/>
      <c r="C137" s="111"/>
      <c r="D137" s="111"/>
      <c r="E137" s="112"/>
      <c r="F137" s="117"/>
      <c r="G137" s="119"/>
      <c r="H137" s="119"/>
    </row>
    <row r="138" spans="1:8" ht="25" customHeight="1" x14ac:dyDescent="0.3">
      <c r="A138" s="111"/>
      <c r="B138" s="111"/>
      <c r="C138" s="111"/>
      <c r="D138" s="111"/>
      <c r="E138" s="112"/>
      <c r="F138" s="117"/>
      <c r="G138" s="119"/>
      <c r="H138" s="119"/>
    </row>
    <row r="139" spans="1:8" ht="25" customHeight="1" x14ac:dyDescent="0.3">
      <c r="A139" s="111"/>
      <c r="B139" s="111"/>
      <c r="C139" s="111"/>
      <c r="D139" s="111"/>
      <c r="E139" s="112"/>
      <c r="F139" s="117"/>
      <c r="G139" s="119"/>
      <c r="H139" s="119"/>
    </row>
    <row r="140" spans="1:8" ht="25" customHeight="1" x14ac:dyDescent="0.3">
      <c r="A140" s="111"/>
      <c r="B140" s="111"/>
      <c r="C140" s="111"/>
      <c r="D140" s="111"/>
      <c r="E140" s="112"/>
      <c r="F140" s="117"/>
      <c r="G140" s="119"/>
      <c r="H140" s="119"/>
    </row>
    <row r="141" spans="1:8" ht="25" customHeight="1" x14ac:dyDescent="0.3">
      <c r="A141" s="111"/>
      <c r="B141" s="111"/>
      <c r="C141" s="111"/>
      <c r="D141" s="111"/>
      <c r="E141" s="112"/>
      <c r="F141" s="117"/>
      <c r="G141" s="119"/>
      <c r="H141" s="119"/>
    </row>
    <row r="142" spans="1:8" ht="25" customHeight="1" x14ac:dyDescent="0.3">
      <c r="A142" s="111"/>
      <c r="B142" s="111"/>
      <c r="C142" s="111"/>
      <c r="D142" s="111"/>
      <c r="E142" s="112"/>
      <c r="F142" s="117"/>
      <c r="G142" s="119"/>
      <c r="H142" s="119"/>
    </row>
    <row r="143" spans="1:8" ht="25" customHeight="1" x14ac:dyDescent="0.3">
      <c r="A143" s="111"/>
      <c r="B143" s="111"/>
      <c r="C143" s="111"/>
      <c r="D143" s="111"/>
      <c r="E143" s="112"/>
      <c r="F143" s="117"/>
      <c r="G143" s="119"/>
      <c r="H143" s="119"/>
    </row>
    <row r="144" spans="1:8" ht="25" customHeight="1" x14ac:dyDescent="0.3">
      <c r="A144" s="111"/>
      <c r="B144" s="111"/>
      <c r="C144" s="111"/>
      <c r="D144" s="111"/>
      <c r="E144" s="112"/>
      <c r="F144" s="117"/>
      <c r="G144" s="119"/>
      <c r="H144" s="119"/>
    </row>
    <row r="145" spans="1:8" ht="25" customHeight="1" x14ac:dyDescent="0.3">
      <c r="A145" s="111"/>
      <c r="B145" s="111"/>
      <c r="C145" s="111"/>
      <c r="D145" s="111"/>
      <c r="E145" s="112"/>
      <c r="F145" s="117"/>
      <c r="G145" s="119"/>
      <c r="H145" s="119"/>
    </row>
    <row r="146" spans="1:8" ht="25" customHeight="1" x14ac:dyDescent="0.3">
      <c r="A146" s="111"/>
      <c r="B146" s="111"/>
      <c r="C146" s="111"/>
      <c r="D146" s="111"/>
      <c r="E146" s="112"/>
      <c r="F146" s="117"/>
      <c r="G146" s="119"/>
      <c r="H146" s="119"/>
    </row>
    <row r="147" spans="1:8" ht="25" customHeight="1" x14ac:dyDescent="0.3">
      <c r="A147" s="111"/>
      <c r="B147" s="111"/>
      <c r="C147" s="111"/>
      <c r="D147" s="111"/>
      <c r="E147" s="112"/>
      <c r="F147" s="117"/>
      <c r="G147" s="119"/>
      <c r="H147" s="119"/>
    </row>
    <row r="148" spans="1:8" ht="25" customHeight="1" x14ac:dyDescent="0.3">
      <c r="A148" s="111"/>
      <c r="B148" s="111"/>
      <c r="C148" s="111"/>
      <c r="D148" s="111"/>
      <c r="E148" s="112"/>
      <c r="F148" s="117"/>
      <c r="G148" s="119"/>
      <c r="H148" s="119"/>
    </row>
    <row r="149" spans="1:8" ht="25" customHeight="1" x14ac:dyDescent="0.3">
      <c r="A149" s="111"/>
      <c r="B149" s="111"/>
      <c r="C149" s="111"/>
      <c r="D149" s="111"/>
      <c r="E149" s="112"/>
      <c r="F149" s="117"/>
      <c r="G149" s="119"/>
      <c r="H149" s="119"/>
    </row>
    <row r="150" spans="1:8" ht="25" customHeight="1" x14ac:dyDescent="0.3">
      <c r="A150" s="111"/>
      <c r="B150" s="111"/>
      <c r="C150" s="111"/>
      <c r="D150" s="111"/>
      <c r="E150" s="112"/>
      <c r="F150" s="117"/>
      <c r="G150" s="119"/>
      <c r="H150" s="119"/>
    </row>
    <row r="151" spans="1:8" ht="25" customHeight="1" x14ac:dyDescent="0.3">
      <c r="A151" s="111"/>
      <c r="B151" s="111"/>
      <c r="C151" s="111"/>
      <c r="D151" s="111"/>
      <c r="E151" s="112"/>
      <c r="F151" s="117"/>
      <c r="G151" s="119"/>
      <c r="H151" s="119"/>
    </row>
    <row r="152" spans="1:8" ht="25" customHeight="1" x14ac:dyDescent="0.3">
      <c r="A152" s="111"/>
      <c r="B152" s="111"/>
      <c r="C152" s="111"/>
      <c r="D152" s="111"/>
      <c r="E152" s="112"/>
      <c r="F152" s="117"/>
      <c r="G152" s="119"/>
      <c r="H152" s="119"/>
    </row>
    <row r="153" spans="1:8" ht="25" customHeight="1" x14ac:dyDescent="0.3">
      <c r="A153" s="111"/>
      <c r="B153" s="111"/>
      <c r="C153" s="111"/>
      <c r="D153" s="111"/>
      <c r="E153" s="112"/>
      <c r="F153" s="117"/>
      <c r="G153" s="119"/>
      <c r="H153" s="119"/>
    </row>
    <row r="154" spans="1:8" ht="25" customHeight="1" x14ac:dyDescent="0.3">
      <c r="A154" s="111"/>
      <c r="B154" s="111"/>
      <c r="C154" s="111"/>
      <c r="D154" s="111"/>
      <c r="E154" s="112"/>
      <c r="F154" s="117"/>
      <c r="G154" s="119"/>
      <c r="H154" s="119"/>
    </row>
    <row r="155" spans="1:8" ht="25" customHeight="1" x14ac:dyDescent="0.3">
      <c r="A155" s="111"/>
      <c r="B155" s="111"/>
      <c r="C155" s="111"/>
      <c r="D155" s="111"/>
      <c r="E155" s="112"/>
      <c r="F155" s="117"/>
      <c r="G155" s="119"/>
      <c r="H155" s="119"/>
    </row>
    <row r="156" spans="1:8" ht="25" customHeight="1" x14ac:dyDescent="0.3">
      <c r="A156" s="111"/>
      <c r="B156" s="111"/>
      <c r="C156" s="111"/>
      <c r="D156" s="111"/>
      <c r="E156" s="112"/>
      <c r="F156" s="117"/>
      <c r="G156" s="119"/>
      <c r="H156" s="119"/>
    </row>
    <row r="157" spans="1:8" ht="25" customHeight="1" x14ac:dyDescent="0.3">
      <c r="A157" s="111"/>
      <c r="B157" s="111"/>
      <c r="C157" s="111"/>
      <c r="D157" s="111"/>
      <c r="E157" s="112"/>
      <c r="F157" s="117"/>
      <c r="G157" s="119"/>
      <c r="H157" s="119"/>
    </row>
    <row r="158" spans="1:8" ht="25" customHeight="1" x14ac:dyDescent="0.3">
      <c r="A158" s="111"/>
      <c r="B158" s="111"/>
      <c r="C158" s="111"/>
      <c r="D158" s="111"/>
      <c r="E158" s="112"/>
      <c r="F158" s="117"/>
      <c r="G158" s="119"/>
      <c r="H158" s="119"/>
    </row>
    <row r="159" spans="1:8" ht="25" customHeight="1" x14ac:dyDescent="0.3">
      <c r="A159" s="111"/>
      <c r="B159" s="111"/>
      <c r="C159" s="111"/>
      <c r="D159" s="111"/>
      <c r="E159" s="112"/>
      <c r="F159" s="117"/>
      <c r="G159" s="119"/>
      <c r="H159" s="119"/>
    </row>
    <row r="160" spans="1:8" ht="25" customHeight="1" x14ac:dyDescent="0.3">
      <c r="A160" s="111"/>
      <c r="B160" s="111"/>
      <c r="C160" s="111"/>
      <c r="D160" s="111"/>
      <c r="E160" s="112"/>
      <c r="F160" s="117"/>
      <c r="G160" s="119"/>
      <c r="H160" s="119"/>
    </row>
    <row r="161" spans="1:8" ht="25" customHeight="1" x14ac:dyDescent="0.3">
      <c r="A161" s="111"/>
      <c r="B161" s="111"/>
      <c r="C161" s="111"/>
      <c r="D161" s="111"/>
      <c r="E161" s="112"/>
      <c r="F161" s="117"/>
      <c r="G161" s="119"/>
      <c r="H161" s="119"/>
    </row>
    <row r="162" spans="1:8" ht="25" customHeight="1" x14ac:dyDescent="0.3">
      <c r="A162" s="111"/>
      <c r="B162" s="111"/>
      <c r="C162" s="111"/>
      <c r="D162" s="111"/>
      <c r="E162" s="112"/>
      <c r="F162" s="117"/>
      <c r="G162" s="119"/>
      <c r="H162" s="119"/>
    </row>
    <row r="163" spans="1:8" ht="25" customHeight="1" x14ac:dyDescent="0.3">
      <c r="A163" s="111"/>
      <c r="B163" s="111"/>
      <c r="C163" s="111"/>
      <c r="D163" s="111"/>
      <c r="E163" s="112"/>
      <c r="F163" s="117"/>
      <c r="G163" s="119"/>
      <c r="H163" s="119"/>
    </row>
    <row r="164" spans="1:8" ht="25" customHeight="1" x14ac:dyDescent="0.3">
      <c r="A164" s="111"/>
      <c r="B164" s="111"/>
      <c r="C164" s="111"/>
      <c r="D164" s="111"/>
      <c r="E164" s="112"/>
      <c r="F164" s="117"/>
      <c r="G164" s="119"/>
      <c r="H164" s="119"/>
    </row>
    <row r="165" spans="1:8" ht="25" customHeight="1" x14ac:dyDescent="0.3">
      <c r="A165" s="111"/>
      <c r="B165" s="111"/>
      <c r="C165" s="111"/>
      <c r="D165" s="111"/>
      <c r="E165" s="112"/>
      <c r="F165" s="117"/>
      <c r="G165" s="119"/>
      <c r="H165" s="119"/>
    </row>
    <row r="166" spans="1:8" ht="25" customHeight="1" x14ac:dyDescent="0.3">
      <c r="A166" s="111"/>
      <c r="B166" s="111"/>
      <c r="C166" s="111"/>
      <c r="D166" s="111"/>
      <c r="E166" s="112"/>
      <c r="F166" s="117"/>
      <c r="G166" s="119"/>
      <c r="H166" s="119"/>
    </row>
    <row r="167" spans="1:8" ht="25" customHeight="1" x14ac:dyDescent="0.3">
      <c r="A167" s="111"/>
      <c r="B167" s="111"/>
      <c r="C167" s="111"/>
      <c r="D167" s="111"/>
      <c r="E167" s="112"/>
      <c r="F167" s="117"/>
      <c r="G167" s="119"/>
      <c r="H167" s="119"/>
    </row>
    <row r="168" spans="1:8" ht="25" customHeight="1" x14ac:dyDescent="0.3">
      <c r="A168" s="111"/>
      <c r="B168" s="111"/>
      <c r="C168" s="111"/>
      <c r="D168" s="111"/>
      <c r="E168" s="112"/>
      <c r="F168" s="117"/>
      <c r="G168" s="119"/>
      <c r="H168" s="119"/>
    </row>
    <row r="169" spans="1:8" ht="25" customHeight="1" x14ac:dyDescent="0.3">
      <c r="A169" s="111"/>
      <c r="B169" s="111"/>
      <c r="C169" s="111"/>
      <c r="D169" s="111"/>
      <c r="E169" s="112"/>
      <c r="F169" s="117"/>
      <c r="G169" s="119"/>
      <c r="H169" s="119"/>
    </row>
    <row r="170" spans="1:8" ht="25" customHeight="1" x14ac:dyDescent="0.3">
      <c r="A170" s="111"/>
      <c r="B170" s="111"/>
      <c r="C170" s="111"/>
      <c r="D170" s="111"/>
      <c r="E170" s="112"/>
      <c r="F170" s="117"/>
      <c r="G170" s="119"/>
      <c r="H170" s="119"/>
    </row>
    <row r="171" spans="1:8" ht="25" customHeight="1" x14ac:dyDescent="0.3">
      <c r="A171" s="111"/>
      <c r="B171" s="111"/>
      <c r="C171" s="111"/>
      <c r="D171" s="111"/>
      <c r="E171" s="112"/>
      <c r="F171" s="117"/>
      <c r="G171" s="119"/>
      <c r="H171" s="119"/>
    </row>
    <row r="172" spans="1:8" ht="25" customHeight="1" x14ac:dyDescent="0.3">
      <c r="A172" s="111"/>
      <c r="B172" s="111"/>
      <c r="C172" s="111"/>
      <c r="D172" s="111"/>
      <c r="E172" s="112"/>
      <c r="F172" s="117"/>
      <c r="G172" s="119"/>
      <c r="H172" s="119"/>
    </row>
    <row r="173" spans="1:8" ht="25" customHeight="1" x14ac:dyDescent="0.3">
      <c r="A173" s="111"/>
      <c r="B173" s="111"/>
      <c r="C173" s="111"/>
      <c r="D173" s="111"/>
      <c r="E173" s="112"/>
      <c r="F173" s="117"/>
      <c r="G173" s="119"/>
      <c r="H173" s="119"/>
    </row>
    <row r="174" spans="1:8" ht="25" customHeight="1" x14ac:dyDescent="0.3">
      <c r="A174" s="111"/>
      <c r="B174" s="111"/>
      <c r="C174" s="111"/>
      <c r="D174" s="111"/>
      <c r="E174" s="112"/>
      <c r="F174" s="117"/>
      <c r="G174" s="119"/>
      <c r="H174" s="119"/>
    </row>
    <row r="175" spans="1:8" ht="25" customHeight="1" x14ac:dyDescent="0.3">
      <c r="A175" s="111"/>
      <c r="B175" s="111"/>
      <c r="C175" s="111"/>
      <c r="D175" s="111"/>
      <c r="E175" s="112"/>
      <c r="F175" s="117"/>
      <c r="G175" s="119"/>
      <c r="H175" s="119"/>
    </row>
    <row r="176" spans="1:8" ht="25" customHeight="1" x14ac:dyDescent="0.3">
      <c r="A176" s="111"/>
      <c r="B176" s="111"/>
      <c r="C176" s="111"/>
      <c r="D176" s="111"/>
      <c r="E176" s="112"/>
      <c r="F176" s="117"/>
      <c r="G176" s="119"/>
      <c r="H176" s="119"/>
    </row>
    <row r="177" spans="1:8" ht="25" customHeight="1" x14ac:dyDescent="0.3">
      <c r="A177" s="111"/>
      <c r="B177" s="111"/>
      <c r="C177" s="111"/>
      <c r="D177" s="111"/>
      <c r="E177" s="112"/>
      <c r="F177" s="117"/>
      <c r="G177" s="119"/>
      <c r="H177" s="119"/>
    </row>
    <row r="178" spans="1:8" ht="25" customHeight="1" x14ac:dyDescent="0.3">
      <c r="A178" s="111"/>
      <c r="B178" s="111"/>
      <c r="C178" s="111"/>
      <c r="D178" s="111"/>
      <c r="E178" s="112"/>
      <c r="F178" s="117"/>
      <c r="G178" s="119"/>
      <c r="H178" s="119"/>
    </row>
    <row r="179" spans="1:8" ht="25" customHeight="1" x14ac:dyDescent="0.3">
      <c r="A179" s="111"/>
      <c r="B179" s="111"/>
      <c r="C179" s="111"/>
      <c r="D179" s="111"/>
      <c r="E179" s="112"/>
      <c r="F179" s="117"/>
      <c r="G179" s="119"/>
      <c r="H179" s="119"/>
    </row>
    <row r="180" spans="1:8" ht="25" customHeight="1" x14ac:dyDescent="0.3">
      <c r="A180" s="111"/>
      <c r="B180" s="111"/>
      <c r="C180" s="111"/>
      <c r="D180" s="111"/>
      <c r="E180" s="112"/>
      <c r="F180" s="117"/>
      <c r="G180" s="119"/>
      <c r="H180" s="119"/>
    </row>
    <row r="181" spans="1:8" ht="25" customHeight="1" x14ac:dyDescent="0.3">
      <c r="A181" s="111"/>
      <c r="B181" s="111"/>
      <c r="C181" s="111"/>
      <c r="D181" s="111"/>
      <c r="E181" s="112"/>
      <c r="F181" s="117"/>
      <c r="G181" s="119"/>
      <c r="H181" s="119"/>
    </row>
    <row r="182" spans="1:8" ht="25" customHeight="1" x14ac:dyDescent="0.3">
      <c r="A182" s="111"/>
      <c r="B182" s="111"/>
      <c r="C182" s="111"/>
      <c r="D182" s="111"/>
      <c r="E182" s="112"/>
      <c r="F182" s="117"/>
      <c r="G182" s="119"/>
      <c r="H182" s="119"/>
    </row>
    <row r="183" spans="1:8" ht="25" customHeight="1" x14ac:dyDescent="0.3">
      <c r="A183" s="111"/>
      <c r="B183" s="111"/>
      <c r="C183" s="111"/>
      <c r="D183" s="111"/>
      <c r="E183" s="112"/>
      <c r="F183" s="117"/>
      <c r="G183" s="119"/>
      <c r="H183" s="119"/>
    </row>
    <row r="184" spans="1:8" ht="25" customHeight="1" x14ac:dyDescent="0.3">
      <c r="A184" s="111"/>
      <c r="B184" s="111"/>
      <c r="C184" s="111"/>
      <c r="D184" s="111"/>
      <c r="E184" s="112"/>
      <c r="F184" s="117"/>
      <c r="G184" s="119"/>
      <c r="H184" s="119"/>
    </row>
    <row r="185" spans="1:8" ht="25" customHeight="1" x14ac:dyDescent="0.3">
      <c r="A185" s="111"/>
      <c r="B185" s="111"/>
      <c r="C185" s="111"/>
      <c r="D185" s="111"/>
      <c r="E185" s="112"/>
      <c r="F185" s="117"/>
      <c r="G185" s="119"/>
      <c r="H185" s="119"/>
    </row>
    <row r="186" spans="1:8" ht="25" customHeight="1" x14ac:dyDescent="0.3">
      <c r="A186" s="111"/>
      <c r="B186" s="111"/>
      <c r="C186" s="111"/>
      <c r="D186" s="111"/>
      <c r="E186" s="112"/>
      <c r="F186" s="117"/>
      <c r="G186" s="119"/>
      <c r="H186" s="119"/>
    </row>
    <row r="187" spans="1:8" ht="25" customHeight="1" x14ac:dyDescent="0.3">
      <c r="A187" s="111"/>
      <c r="B187" s="111"/>
      <c r="C187" s="111"/>
      <c r="D187" s="111"/>
      <c r="E187" s="112"/>
      <c r="F187" s="117"/>
      <c r="G187" s="119"/>
      <c r="H187" s="119"/>
    </row>
    <row r="188" spans="1:8" ht="25" customHeight="1" x14ac:dyDescent="0.3">
      <c r="A188" s="111"/>
      <c r="B188" s="111"/>
      <c r="C188" s="111"/>
      <c r="D188" s="111"/>
      <c r="E188" s="112"/>
      <c r="F188" s="117"/>
      <c r="G188" s="119"/>
      <c r="H188" s="119"/>
    </row>
    <row r="189" spans="1:8" ht="25" customHeight="1" x14ac:dyDescent="0.3">
      <c r="A189" s="111"/>
      <c r="B189" s="111"/>
      <c r="C189" s="111"/>
      <c r="D189" s="111"/>
      <c r="E189" s="112"/>
      <c r="F189" s="117"/>
      <c r="G189" s="119"/>
      <c r="H189" s="119"/>
    </row>
    <row r="190" spans="1:8" ht="25" customHeight="1" x14ac:dyDescent="0.3">
      <c r="A190" s="111"/>
      <c r="B190" s="111"/>
      <c r="C190" s="111"/>
      <c r="D190" s="111"/>
      <c r="E190" s="112"/>
      <c r="F190" s="117"/>
      <c r="G190" s="119"/>
      <c r="H190" s="119"/>
    </row>
    <row r="191" spans="1:8" ht="25" customHeight="1" x14ac:dyDescent="0.3">
      <c r="A191" s="111"/>
      <c r="B191" s="111"/>
      <c r="C191" s="111"/>
      <c r="D191" s="111"/>
      <c r="E191" s="112"/>
      <c r="F191" s="117"/>
      <c r="G191" s="119"/>
      <c r="H191" s="119"/>
    </row>
    <row r="192" spans="1:8" ht="25" customHeight="1" x14ac:dyDescent="0.3">
      <c r="A192" s="111"/>
      <c r="B192" s="111"/>
      <c r="C192" s="111"/>
      <c r="D192" s="111"/>
      <c r="E192" s="112"/>
      <c r="F192" s="117"/>
      <c r="G192" s="119"/>
      <c r="H192" s="119"/>
    </row>
    <row r="193" spans="1:8" ht="25" customHeight="1" x14ac:dyDescent="0.3">
      <c r="A193" s="111"/>
      <c r="B193" s="111"/>
      <c r="C193" s="111"/>
      <c r="D193" s="111"/>
      <c r="E193" s="112"/>
      <c r="F193" s="117"/>
      <c r="G193" s="119"/>
      <c r="H193" s="119"/>
    </row>
    <row r="194" spans="1:8" ht="25" customHeight="1" x14ac:dyDescent="0.3">
      <c r="A194" s="111"/>
      <c r="B194" s="111"/>
      <c r="C194" s="111"/>
      <c r="D194" s="111"/>
      <c r="E194" s="112"/>
      <c r="F194" s="117"/>
      <c r="G194" s="119"/>
      <c r="H194" s="119"/>
    </row>
    <row r="195" spans="1:8" ht="25" customHeight="1" x14ac:dyDescent="0.3">
      <c r="A195" s="111"/>
      <c r="B195" s="111"/>
      <c r="C195" s="111"/>
      <c r="D195" s="111"/>
      <c r="E195" s="112"/>
      <c r="F195" s="117"/>
      <c r="G195" s="119"/>
      <c r="H195" s="119"/>
    </row>
    <row r="196" spans="1:8" ht="25" customHeight="1" x14ac:dyDescent="0.3">
      <c r="A196" s="111"/>
      <c r="B196" s="111"/>
      <c r="C196" s="111"/>
      <c r="D196" s="111"/>
      <c r="E196" s="112"/>
      <c r="F196" s="117"/>
      <c r="G196" s="119"/>
      <c r="H196" s="119"/>
    </row>
    <row r="197" spans="1:8" ht="25" customHeight="1" x14ac:dyDescent="0.3">
      <c r="A197" s="111"/>
      <c r="B197" s="111"/>
      <c r="C197" s="111"/>
      <c r="D197" s="111"/>
      <c r="E197" s="112"/>
      <c r="F197" s="117"/>
      <c r="G197" s="119"/>
      <c r="H197" s="119"/>
    </row>
    <row r="198" spans="1:8" ht="25" customHeight="1" x14ac:dyDescent="0.3">
      <c r="A198" s="111"/>
      <c r="B198" s="111"/>
      <c r="C198" s="111"/>
      <c r="D198" s="111"/>
      <c r="E198" s="112"/>
      <c r="F198" s="117"/>
      <c r="G198" s="119"/>
      <c r="H198" s="119"/>
    </row>
    <row r="199" spans="1:8" ht="25" customHeight="1" x14ac:dyDescent="0.3">
      <c r="A199" s="111"/>
      <c r="B199" s="111"/>
      <c r="C199" s="111"/>
      <c r="D199" s="111"/>
      <c r="E199" s="112"/>
      <c r="F199" s="117"/>
      <c r="G199" s="119"/>
      <c r="H199" s="119"/>
    </row>
    <row r="200" spans="1:8" ht="25" customHeight="1" x14ac:dyDescent="0.3">
      <c r="A200" s="111"/>
      <c r="B200" s="111"/>
      <c r="C200" s="111"/>
      <c r="D200" s="111"/>
      <c r="E200" s="112"/>
      <c r="F200" s="117"/>
      <c r="G200" s="119"/>
      <c r="H200" s="119"/>
    </row>
    <row r="201" spans="1:8" ht="25" customHeight="1" x14ac:dyDescent="0.3">
      <c r="A201" s="111"/>
      <c r="B201" s="111"/>
      <c r="C201" s="111"/>
      <c r="D201" s="111"/>
      <c r="E201" s="112"/>
      <c r="F201" s="117"/>
      <c r="G201" s="119"/>
      <c r="H201" s="119"/>
    </row>
    <row r="202" spans="1:8" ht="25" customHeight="1" x14ac:dyDescent="0.3">
      <c r="A202" s="111"/>
      <c r="B202" s="111"/>
      <c r="C202" s="111"/>
      <c r="D202" s="111"/>
      <c r="E202" s="112"/>
      <c r="F202" s="117"/>
      <c r="G202" s="119"/>
      <c r="H202" s="119"/>
    </row>
    <row r="203" spans="1:8" ht="25" customHeight="1" x14ac:dyDescent="0.3">
      <c r="A203" s="111"/>
      <c r="B203" s="111"/>
      <c r="C203" s="111"/>
      <c r="D203" s="111"/>
      <c r="E203" s="112"/>
      <c r="F203" s="117"/>
      <c r="G203" s="119"/>
      <c r="H203" s="119"/>
    </row>
    <row r="204" spans="1:8" ht="25" customHeight="1" x14ac:dyDescent="0.3">
      <c r="A204" s="111"/>
      <c r="B204" s="111"/>
      <c r="C204" s="111"/>
      <c r="D204" s="111"/>
      <c r="E204" s="112"/>
      <c r="F204" s="117"/>
      <c r="G204" s="119"/>
      <c r="H204" s="119"/>
    </row>
    <row r="205" spans="1:8" ht="25" customHeight="1" x14ac:dyDescent="0.3">
      <c r="A205" s="111"/>
      <c r="B205" s="111"/>
      <c r="C205" s="111"/>
      <c r="D205" s="111"/>
      <c r="E205" s="112"/>
      <c r="F205" s="117"/>
      <c r="G205" s="119"/>
      <c r="H205" s="119"/>
    </row>
    <row r="206" spans="1:8" ht="25" customHeight="1" x14ac:dyDescent="0.3">
      <c r="A206" s="111"/>
      <c r="B206" s="111"/>
      <c r="C206" s="111"/>
      <c r="D206" s="111"/>
      <c r="E206" s="112"/>
      <c r="F206" s="117"/>
      <c r="G206" s="119"/>
      <c r="H206" s="119"/>
    </row>
    <row r="207" spans="1:8" ht="25" customHeight="1" x14ac:dyDescent="0.3">
      <c r="A207" s="111"/>
      <c r="B207" s="111"/>
      <c r="C207" s="111"/>
      <c r="D207" s="111"/>
      <c r="E207" s="112"/>
      <c r="F207" s="117"/>
      <c r="G207" s="119"/>
      <c r="H207" s="119"/>
    </row>
    <row r="208" spans="1:8" ht="25" customHeight="1" x14ac:dyDescent="0.3">
      <c r="A208" s="111"/>
      <c r="B208" s="111"/>
      <c r="C208" s="111"/>
      <c r="D208" s="111"/>
      <c r="E208" s="112"/>
      <c r="F208" s="117"/>
      <c r="G208" s="119"/>
      <c r="H208" s="119"/>
    </row>
    <row r="209" spans="1:8" ht="25" customHeight="1" x14ac:dyDescent="0.3">
      <c r="A209" s="111"/>
      <c r="B209" s="111"/>
      <c r="C209" s="111"/>
      <c r="D209" s="111"/>
      <c r="E209" s="112"/>
      <c r="F209" s="117"/>
      <c r="G209" s="119"/>
      <c r="H209" s="119"/>
    </row>
    <row r="210" spans="1:8" ht="25" customHeight="1" x14ac:dyDescent="0.3">
      <c r="A210" s="111"/>
      <c r="B210" s="111"/>
      <c r="C210" s="111"/>
      <c r="D210" s="111"/>
      <c r="E210" s="112"/>
      <c r="F210" s="117"/>
      <c r="G210" s="119"/>
      <c r="H210" s="119"/>
    </row>
    <row r="211" spans="1:8" ht="25" customHeight="1" x14ac:dyDescent="0.3">
      <c r="A211" s="111"/>
      <c r="B211" s="111"/>
      <c r="C211" s="111"/>
      <c r="D211" s="111"/>
      <c r="E211" s="112"/>
      <c r="F211" s="117"/>
      <c r="G211" s="119"/>
      <c r="H211" s="119"/>
    </row>
    <row r="212" spans="1:8" ht="25" customHeight="1" x14ac:dyDescent="0.3">
      <c r="A212" s="111"/>
      <c r="B212" s="111"/>
      <c r="C212" s="111"/>
      <c r="D212" s="111"/>
      <c r="E212" s="112"/>
      <c r="F212" s="117"/>
      <c r="G212" s="119"/>
      <c r="H212" s="119"/>
    </row>
    <row r="213" spans="1:8" ht="25" customHeight="1" x14ac:dyDescent="0.3">
      <c r="A213" s="111"/>
      <c r="B213" s="111"/>
      <c r="C213" s="111"/>
      <c r="D213" s="111"/>
      <c r="E213" s="112"/>
      <c r="F213" s="117"/>
      <c r="G213" s="119"/>
      <c r="H213" s="119"/>
    </row>
  </sheetData>
  <mergeCells count="1">
    <mergeCell ref="A2:D2"/>
  </mergeCells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4:D147"/>
  <sheetViews>
    <sheetView topLeftCell="A4" workbookViewId="0">
      <selection activeCell="C14" sqref="C14"/>
    </sheetView>
  </sheetViews>
  <sheetFormatPr defaultColWidth="8.81640625" defaultRowHeight="14.5" x14ac:dyDescent="0.35"/>
  <cols>
    <col min="1" max="1" width="2" customWidth="1"/>
    <col min="2" max="2" width="64.6328125" customWidth="1"/>
    <col min="3" max="3" width="14.81640625" customWidth="1"/>
    <col min="4" max="4" width="21.6328125" customWidth="1"/>
    <col min="5" max="5" width="1.453125" customWidth="1"/>
  </cols>
  <sheetData>
    <row r="4" spans="2:4" ht="10.5" customHeight="1" thickBot="1" x14ac:dyDescent="0.4"/>
    <row r="5" spans="2:4" ht="60" customHeight="1" thickBot="1" x14ac:dyDescent="0.4">
      <c r="B5" s="32" t="s">
        <v>136</v>
      </c>
      <c r="C5" s="32" t="s">
        <v>137</v>
      </c>
      <c r="D5" s="32" t="s">
        <v>138</v>
      </c>
    </row>
    <row r="6" spans="2:4" ht="60" customHeight="1" thickBot="1" x14ac:dyDescent="0.4">
      <c r="B6" s="33" t="s">
        <v>139</v>
      </c>
      <c r="C6" s="34">
        <v>5</v>
      </c>
      <c r="D6" s="34" t="s">
        <v>140</v>
      </c>
    </row>
    <row r="7" spans="2:4" ht="60" customHeight="1" thickBot="1" x14ac:dyDescent="0.4">
      <c r="B7" s="35" t="s">
        <v>141</v>
      </c>
      <c r="C7" s="36">
        <v>4</v>
      </c>
      <c r="D7" s="36" t="s">
        <v>142</v>
      </c>
    </row>
    <row r="8" spans="2:4" ht="60" customHeight="1" thickBot="1" x14ac:dyDescent="0.4">
      <c r="B8" s="37" t="s">
        <v>143</v>
      </c>
      <c r="C8" s="38">
        <v>3</v>
      </c>
      <c r="D8" s="38" t="s">
        <v>144</v>
      </c>
    </row>
    <row r="9" spans="2:4" ht="84" customHeight="1" thickBot="1" x14ac:dyDescent="0.4">
      <c r="B9" s="39" t="s">
        <v>145</v>
      </c>
      <c r="C9" s="40">
        <v>2</v>
      </c>
      <c r="D9" s="40" t="s">
        <v>146</v>
      </c>
    </row>
    <row r="10" spans="2:4" ht="84.5" customHeight="1" thickBot="1" x14ac:dyDescent="0.4">
      <c r="B10" s="41" t="s">
        <v>147</v>
      </c>
      <c r="C10" s="42">
        <v>1</v>
      </c>
      <c r="D10" s="42" t="s">
        <v>148</v>
      </c>
    </row>
    <row r="11" spans="2:4" ht="9.5" customHeight="1" x14ac:dyDescent="0.35"/>
    <row r="17" ht="60" customHeight="1" x14ac:dyDescent="0.35"/>
    <row r="18" ht="60" customHeight="1" x14ac:dyDescent="0.35"/>
    <row r="19" ht="60" customHeight="1" x14ac:dyDescent="0.35"/>
    <row r="20" ht="60" customHeight="1" x14ac:dyDescent="0.35"/>
    <row r="21" ht="60" customHeight="1" x14ac:dyDescent="0.35"/>
    <row r="22" ht="60" customHeight="1" x14ac:dyDescent="0.35"/>
    <row r="23" ht="60" customHeight="1" x14ac:dyDescent="0.35"/>
    <row r="24" ht="60" customHeight="1" x14ac:dyDescent="0.35"/>
    <row r="25" ht="60" customHeight="1" x14ac:dyDescent="0.35"/>
    <row r="26" ht="60" customHeight="1" x14ac:dyDescent="0.35"/>
    <row r="27" ht="60" customHeight="1" x14ac:dyDescent="0.35"/>
    <row r="28" ht="60" customHeight="1" x14ac:dyDescent="0.35"/>
    <row r="29" ht="60" customHeight="1" x14ac:dyDescent="0.35"/>
    <row r="30" ht="60" customHeight="1" x14ac:dyDescent="0.35"/>
    <row r="31" ht="60" customHeight="1" x14ac:dyDescent="0.35"/>
    <row r="34" ht="60" customHeight="1" x14ac:dyDescent="0.35"/>
    <row r="35" ht="60" customHeight="1" x14ac:dyDescent="0.35"/>
    <row r="36" ht="60" customHeight="1" x14ac:dyDescent="0.35"/>
    <row r="37" ht="60" customHeight="1" x14ac:dyDescent="0.35"/>
    <row r="38" ht="60" customHeight="1" x14ac:dyDescent="0.35"/>
    <row r="39" ht="60" customHeight="1" x14ac:dyDescent="0.35"/>
    <row r="42" ht="60" customHeight="1" x14ac:dyDescent="0.35"/>
    <row r="43" ht="60" customHeight="1" x14ac:dyDescent="0.35"/>
    <row r="44" ht="60" customHeight="1" x14ac:dyDescent="0.35"/>
    <row r="45" ht="60" customHeight="1" x14ac:dyDescent="0.35"/>
    <row r="46" ht="60" customHeight="1" x14ac:dyDescent="0.35"/>
    <row r="47" ht="60" customHeight="1" x14ac:dyDescent="0.35"/>
    <row r="50" ht="60" customHeight="1" x14ac:dyDescent="0.35"/>
    <row r="51" ht="60" customHeight="1" x14ac:dyDescent="0.35"/>
    <row r="52" ht="60" customHeight="1" x14ac:dyDescent="0.35"/>
    <row r="53" ht="60" customHeight="1" x14ac:dyDescent="0.35"/>
    <row r="54" ht="60" customHeight="1" x14ac:dyDescent="0.35"/>
    <row r="55" ht="60" customHeight="1" x14ac:dyDescent="0.35"/>
    <row r="58" ht="60" customHeight="1" x14ac:dyDescent="0.35"/>
    <row r="59" ht="60" customHeight="1" x14ac:dyDescent="0.35"/>
    <row r="60" ht="60" customHeight="1" x14ac:dyDescent="0.35"/>
    <row r="61" ht="60" customHeight="1" x14ac:dyDescent="0.35"/>
    <row r="62" ht="60" customHeight="1" x14ac:dyDescent="0.35"/>
    <row r="63" ht="60" customHeight="1" x14ac:dyDescent="0.35"/>
    <row r="66" ht="60" customHeight="1" x14ac:dyDescent="0.35"/>
    <row r="67" ht="60" customHeight="1" x14ac:dyDescent="0.35"/>
    <row r="68" ht="60" customHeight="1" x14ac:dyDescent="0.35"/>
    <row r="69" ht="60" customHeight="1" x14ac:dyDescent="0.35"/>
    <row r="70" ht="60" customHeight="1" x14ac:dyDescent="0.35"/>
    <row r="71" ht="60" customHeight="1" x14ac:dyDescent="0.35"/>
    <row r="75" ht="60" customHeight="1" x14ac:dyDescent="0.35"/>
    <row r="76" ht="60" customHeight="1" x14ac:dyDescent="0.35"/>
    <row r="77" ht="60" customHeight="1" x14ac:dyDescent="0.35"/>
    <row r="78" ht="60" customHeight="1" x14ac:dyDescent="0.35"/>
    <row r="79" ht="60" customHeight="1" x14ac:dyDescent="0.35"/>
    <row r="80" ht="60" customHeight="1" x14ac:dyDescent="0.35"/>
    <row r="84" ht="60" customHeight="1" x14ac:dyDescent="0.35"/>
    <row r="85" ht="60" customHeight="1" x14ac:dyDescent="0.35"/>
    <row r="86" ht="60" customHeight="1" x14ac:dyDescent="0.35"/>
    <row r="87" ht="60" customHeight="1" x14ac:dyDescent="0.35"/>
    <row r="88" ht="60" customHeight="1" x14ac:dyDescent="0.35"/>
    <row r="89" ht="60" customHeight="1" x14ac:dyDescent="0.35"/>
    <row r="90" ht="60" customHeight="1" x14ac:dyDescent="0.35"/>
    <row r="91" ht="60" customHeight="1" x14ac:dyDescent="0.35"/>
    <row r="92" ht="60" customHeight="1" x14ac:dyDescent="0.35"/>
    <row r="93" ht="60" customHeight="1" x14ac:dyDescent="0.35"/>
    <row r="94" ht="60" customHeight="1" x14ac:dyDescent="0.35"/>
    <row r="95" ht="60" customHeight="1" x14ac:dyDescent="0.35"/>
    <row r="96" ht="60" customHeight="1" x14ac:dyDescent="0.35"/>
    <row r="97" ht="60" customHeight="1" x14ac:dyDescent="0.35"/>
    <row r="98" ht="60" customHeight="1" x14ac:dyDescent="0.35"/>
    <row r="101" ht="60" customHeight="1" x14ac:dyDescent="0.35"/>
    <row r="102" ht="60" customHeight="1" x14ac:dyDescent="0.35"/>
    <row r="103" ht="60" customHeight="1" x14ac:dyDescent="0.35"/>
    <row r="104" ht="60" customHeight="1" x14ac:dyDescent="0.35"/>
    <row r="105" ht="60" customHeight="1" x14ac:dyDescent="0.35"/>
    <row r="106" ht="60" customHeight="1" x14ac:dyDescent="0.35"/>
    <row r="109" ht="60" customHeight="1" x14ac:dyDescent="0.35"/>
    <row r="110" ht="60" customHeight="1" x14ac:dyDescent="0.35"/>
    <row r="111" ht="60" customHeight="1" x14ac:dyDescent="0.35"/>
    <row r="112" ht="60" customHeight="1" x14ac:dyDescent="0.35"/>
    <row r="113" ht="60" customHeight="1" x14ac:dyDescent="0.35"/>
    <row r="114" ht="60" customHeight="1" x14ac:dyDescent="0.35"/>
    <row r="117" ht="100" customHeight="1" x14ac:dyDescent="0.35"/>
    <row r="118" ht="60" customHeight="1" x14ac:dyDescent="0.35"/>
    <row r="119" ht="60" customHeight="1" x14ac:dyDescent="0.35"/>
    <row r="120" ht="60" customHeight="1" x14ac:dyDescent="0.35"/>
    <row r="121" ht="60" customHeight="1" x14ac:dyDescent="0.35"/>
    <row r="122" ht="60" customHeight="1" x14ac:dyDescent="0.35"/>
    <row r="125" ht="60" customHeight="1" x14ac:dyDescent="0.35"/>
    <row r="126" ht="60" customHeight="1" x14ac:dyDescent="0.35"/>
    <row r="127" ht="60" customHeight="1" x14ac:dyDescent="0.35"/>
    <row r="128" ht="60" customHeight="1" x14ac:dyDescent="0.35"/>
    <row r="129" ht="60" customHeight="1" x14ac:dyDescent="0.35"/>
    <row r="130" ht="60" customHeight="1" x14ac:dyDescent="0.35"/>
    <row r="134" ht="60" customHeight="1" x14ac:dyDescent="0.35"/>
    <row r="135" ht="60" customHeight="1" x14ac:dyDescent="0.35"/>
    <row r="136" ht="60" customHeight="1" x14ac:dyDescent="0.35"/>
    <row r="137" ht="60" customHeight="1" x14ac:dyDescent="0.35"/>
    <row r="138" ht="60" customHeight="1" x14ac:dyDescent="0.35"/>
    <row r="139" ht="60" customHeight="1" x14ac:dyDescent="0.35"/>
    <row r="142" ht="60" customHeight="1" x14ac:dyDescent="0.35"/>
    <row r="143" ht="60" customHeight="1" x14ac:dyDescent="0.35"/>
    <row r="144" ht="60" customHeight="1" x14ac:dyDescent="0.35"/>
    <row r="145" ht="60" customHeight="1" x14ac:dyDescent="0.35"/>
    <row r="146" ht="60" customHeight="1" x14ac:dyDescent="0.35"/>
    <row r="147" ht="60" customHeight="1" x14ac:dyDescent="0.35"/>
  </sheetData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4:D11"/>
  <sheetViews>
    <sheetView workbookViewId="0">
      <selection activeCell="D15" sqref="D15"/>
    </sheetView>
  </sheetViews>
  <sheetFormatPr defaultColWidth="8.81640625" defaultRowHeight="14.5" x14ac:dyDescent="0.35"/>
  <cols>
    <col min="1" max="1" width="1.453125" customWidth="1"/>
    <col min="2" max="2" width="64.6328125" customWidth="1"/>
    <col min="3" max="3" width="14.81640625" customWidth="1"/>
    <col min="4" max="4" width="21.6328125" customWidth="1"/>
    <col min="5" max="5" width="1.36328125" customWidth="1"/>
  </cols>
  <sheetData>
    <row r="4" spans="2:4" ht="15" thickBot="1" x14ac:dyDescent="0.4"/>
    <row r="5" spans="2:4" ht="28.5" thickBot="1" x14ac:dyDescent="0.4">
      <c r="B5" s="32" t="s">
        <v>149</v>
      </c>
      <c r="C5" s="32" t="s">
        <v>150</v>
      </c>
      <c r="D5" s="32" t="s">
        <v>138</v>
      </c>
    </row>
    <row r="6" spans="2:4" ht="28.5" thickBot="1" x14ac:dyDescent="0.4">
      <c r="B6" s="43" t="s">
        <v>151</v>
      </c>
      <c r="C6" s="44">
        <v>5</v>
      </c>
      <c r="D6" s="44" t="s">
        <v>140</v>
      </c>
    </row>
    <row r="7" spans="2:4" ht="28.5" thickBot="1" x14ac:dyDescent="0.4">
      <c r="B7" s="45" t="s">
        <v>152</v>
      </c>
      <c r="C7" s="46">
        <v>4</v>
      </c>
      <c r="D7" s="46" t="s">
        <v>142</v>
      </c>
    </row>
    <row r="8" spans="2:4" ht="28.5" thickBot="1" x14ac:dyDescent="0.4">
      <c r="B8" s="47" t="s">
        <v>153</v>
      </c>
      <c r="C8" s="48">
        <v>3</v>
      </c>
      <c r="D8" s="48" t="s">
        <v>144</v>
      </c>
    </row>
    <row r="9" spans="2:4" ht="42.5" thickBot="1" x14ac:dyDescent="0.4">
      <c r="B9" s="49" t="s">
        <v>154</v>
      </c>
      <c r="C9" s="50">
        <v>2</v>
      </c>
      <c r="D9" s="50" t="s">
        <v>146</v>
      </c>
    </row>
    <row r="10" spans="2:4" ht="42.5" thickBot="1" x14ac:dyDescent="0.4">
      <c r="B10" s="51" t="s">
        <v>155</v>
      </c>
      <c r="C10" s="52">
        <v>1</v>
      </c>
      <c r="D10" s="52" t="s">
        <v>148</v>
      </c>
    </row>
    <row r="11" spans="2:4" ht="9" customHeight="1" x14ac:dyDescent="0.35"/>
  </sheetData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F202"/>
  <sheetViews>
    <sheetView zoomScale="104" workbookViewId="0"/>
  </sheetViews>
  <sheetFormatPr defaultColWidth="8.81640625" defaultRowHeight="14.5" x14ac:dyDescent="0.35"/>
  <cols>
    <col min="2" max="2" width="55.1796875" customWidth="1"/>
  </cols>
  <sheetData>
    <row r="2" spans="2:2" ht="15" thickBot="1" x14ac:dyDescent="0.4">
      <c r="B2" t="s">
        <v>36</v>
      </c>
    </row>
    <row r="3" spans="2:2" ht="15" thickTop="1" x14ac:dyDescent="0.35">
      <c r="B3" s="2" t="s">
        <v>22</v>
      </c>
    </row>
    <row r="4" spans="2:2" x14ac:dyDescent="0.35">
      <c r="B4" s="3" t="s">
        <v>23</v>
      </c>
    </row>
    <row r="5" spans="2:2" x14ac:dyDescent="0.35">
      <c r="B5" s="3" t="s">
        <v>24</v>
      </c>
    </row>
    <row r="6" spans="2:2" x14ac:dyDescent="0.35">
      <c r="B6" s="3" t="s">
        <v>25</v>
      </c>
    </row>
    <row r="7" spans="2:2" x14ac:dyDescent="0.35">
      <c r="B7" s="3" t="s">
        <v>26</v>
      </c>
    </row>
    <row r="8" spans="2:2" x14ac:dyDescent="0.35">
      <c r="B8" s="3" t="s">
        <v>27</v>
      </c>
    </row>
    <row r="9" spans="2:2" x14ac:dyDescent="0.35">
      <c r="B9" s="3" t="s">
        <v>28</v>
      </c>
    </row>
    <row r="10" spans="2:2" x14ac:dyDescent="0.35">
      <c r="B10" s="3" t="s">
        <v>29</v>
      </c>
    </row>
    <row r="11" spans="2:2" x14ac:dyDescent="0.35">
      <c r="B11" s="3" t="s">
        <v>30</v>
      </c>
    </row>
    <row r="12" spans="2:2" x14ac:dyDescent="0.35">
      <c r="B12" s="3" t="s">
        <v>31</v>
      </c>
    </row>
    <row r="13" spans="2:2" x14ac:dyDescent="0.35">
      <c r="B13" s="3" t="s">
        <v>32</v>
      </c>
    </row>
    <row r="14" spans="2:2" x14ac:dyDescent="0.35">
      <c r="B14" s="4" t="s">
        <v>33</v>
      </c>
    </row>
    <row r="15" spans="2:2" x14ac:dyDescent="0.35">
      <c r="B15" s="5" t="s">
        <v>34</v>
      </c>
    </row>
    <row r="16" spans="2:2" ht="15" thickBot="1" x14ac:dyDescent="0.4">
      <c r="B16" s="6" t="s">
        <v>35</v>
      </c>
    </row>
    <row r="17" spans="2:2" ht="15.5" thickTop="1" thickBot="1" x14ac:dyDescent="0.4">
      <c r="B17" s="5" t="s">
        <v>38</v>
      </c>
    </row>
    <row r="18" spans="2:2" ht="15" thickTop="1" x14ac:dyDescent="0.35">
      <c r="B18" s="8" t="s">
        <v>37</v>
      </c>
    </row>
    <row r="19" spans="2:2" x14ac:dyDescent="0.35">
      <c r="B19" s="9">
        <v>1960</v>
      </c>
    </row>
    <row r="20" spans="2:2" x14ac:dyDescent="0.35">
      <c r="B20" s="9">
        <f>B19+1</f>
        <v>1961</v>
      </c>
    </row>
    <row r="21" spans="2:2" x14ac:dyDescent="0.35">
      <c r="B21" s="9">
        <f t="shared" ref="B21:B79" si="0">B20+1</f>
        <v>1962</v>
      </c>
    </row>
    <row r="22" spans="2:2" x14ac:dyDescent="0.35">
      <c r="B22" s="9">
        <f t="shared" si="0"/>
        <v>1963</v>
      </c>
    </row>
    <row r="23" spans="2:2" x14ac:dyDescent="0.35">
      <c r="B23" s="9">
        <f t="shared" si="0"/>
        <v>1964</v>
      </c>
    </row>
    <row r="24" spans="2:2" x14ac:dyDescent="0.35">
      <c r="B24" s="9">
        <f t="shared" si="0"/>
        <v>1965</v>
      </c>
    </row>
    <row r="25" spans="2:2" x14ac:dyDescent="0.35">
      <c r="B25" s="9">
        <f t="shared" si="0"/>
        <v>1966</v>
      </c>
    </row>
    <row r="26" spans="2:2" x14ac:dyDescent="0.35">
      <c r="B26" s="9">
        <f t="shared" si="0"/>
        <v>1967</v>
      </c>
    </row>
    <row r="27" spans="2:2" x14ac:dyDescent="0.35">
      <c r="B27" s="9">
        <f t="shared" si="0"/>
        <v>1968</v>
      </c>
    </row>
    <row r="28" spans="2:2" x14ac:dyDescent="0.35">
      <c r="B28" s="9">
        <f t="shared" si="0"/>
        <v>1969</v>
      </c>
    </row>
    <row r="29" spans="2:2" x14ac:dyDescent="0.35">
      <c r="B29" s="9">
        <f t="shared" si="0"/>
        <v>1970</v>
      </c>
    </row>
    <row r="30" spans="2:2" x14ac:dyDescent="0.35">
      <c r="B30" s="9">
        <f t="shared" si="0"/>
        <v>1971</v>
      </c>
    </row>
    <row r="31" spans="2:2" x14ac:dyDescent="0.35">
      <c r="B31" s="9">
        <f t="shared" si="0"/>
        <v>1972</v>
      </c>
    </row>
    <row r="32" spans="2:2" x14ac:dyDescent="0.35">
      <c r="B32" s="9">
        <f t="shared" si="0"/>
        <v>1973</v>
      </c>
    </row>
    <row r="33" spans="2:2" x14ac:dyDescent="0.35">
      <c r="B33" s="9">
        <f t="shared" si="0"/>
        <v>1974</v>
      </c>
    </row>
    <row r="34" spans="2:2" x14ac:dyDescent="0.35">
      <c r="B34" s="9">
        <f t="shared" si="0"/>
        <v>1975</v>
      </c>
    </row>
    <row r="35" spans="2:2" x14ac:dyDescent="0.35">
      <c r="B35" s="9">
        <f t="shared" si="0"/>
        <v>1976</v>
      </c>
    </row>
    <row r="36" spans="2:2" x14ac:dyDescent="0.35">
      <c r="B36" s="9">
        <f t="shared" si="0"/>
        <v>1977</v>
      </c>
    </row>
    <row r="37" spans="2:2" x14ac:dyDescent="0.35">
      <c r="B37" s="9">
        <f t="shared" si="0"/>
        <v>1978</v>
      </c>
    </row>
    <row r="38" spans="2:2" x14ac:dyDescent="0.35">
      <c r="B38" s="9">
        <f t="shared" si="0"/>
        <v>1979</v>
      </c>
    </row>
    <row r="39" spans="2:2" x14ac:dyDescent="0.35">
      <c r="B39" s="9">
        <f t="shared" si="0"/>
        <v>1980</v>
      </c>
    </row>
    <row r="40" spans="2:2" x14ac:dyDescent="0.35">
      <c r="B40" s="9">
        <f t="shared" si="0"/>
        <v>1981</v>
      </c>
    </row>
    <row r="41" spans="2:2" x14ac:dyDescent="0.35">
      <c r="B41" s="9">
        <f t="shared" si="0"/>
        <v>1982</v>
      </c>
    </row>
    <row r="42" spans="2:2" x14ac:dyDescent="0.35">
      <c r="B42" s="9">
        <f t="shared" si="0"/>
        <v>1983</v>
      </c>
    </row>
    <row r="43" spans="2:2" x14ac:dyDescent="0.35">
      <c r="B43" s="9">
        <f t="shared" si="0"/>
        <v>1984</v>
      </c>
    </row>
    <row r="44" spans="2:2" x14ac:dyDescent="0.35">
      <c r="B44" s="9">
        <f t="shared" si="0"/>
        <v>1985</v>
      </c>
    </row>
    <row r="45" spans="2:2" x14ac:dyDescent="0.35">
      <c r="B45" s="9">
        <f t="shared" si="0"/>
        <v>1986</v>
      </c>
    </row>
    <row r="46" spans="2:2" x14ac:dyDescent="0.35">
      <c r="B46" s="9">
        <f t="shared" si="0"/>
        <v>1987</v>
      </c>
    </row>
    <row r="47" spans="2:2" x14ac:dyDescent="0.35">
      <c r="B47" s="9">
        <f t="shared" si="0"/>
        <v>1988</v>
      </c>
    </row>
    <row r="48" spans="2:2" x14ac:dyDescent="0.35">
      <c r="B48" s="9">
        <f t="shared" si="0"/>
        <v>1989</v>
      </c>
    </row>
    <row r="49" spans="2:4" x14ac:dyDescent="0.35">
      <c r="B49" s="9">
        <f t="shared" si="0"/>
        <v>1990</v>
      </c>
    </row>
    <row r="50" spans="2:4" x14ac:dyDescent="0.35">
      <c r="B50" s="9">
        <f t="shared" si="0"/>
        <v>1991</v>
      </c>
    </row>
    <row r="51" spans="2:4" x14ac:dyDescent="0.35">
      <c r="B51" s="9">
        <f t="shared" si="0"/>
        <v>1992</v>
      </c>
    </row>
    <row r="52" spans="2:4" x14ac:dyDescent="0.35">
      <c r="B52" s="9">
        <f t="shared" si="0"/>
        <v>1993</v>
      </c>
    </row>
    <row r="53" spans="2:4" x14ac:dyDescent="0.35">
      <c r="B53" s="9">
        <f t="shared" si="0"/>
        <v>1994</v>
      </c>
    </row>
    <row r="54" spans="2:4" x14ac:dyDescent="0.35">
      <c r="B54" s="9">
        <f t="shared" si="0"/>
        <v>1995</v>
      </c>
    </row>
    <row r="55" spans="2:4" x14ac:dyDescent="0.35">
      <c r="B55" s="9">
        <f t="shared" si="0"/>
        <v>1996</v>
      </c>
    </row>
    <row r="56" spans="2:4" x14ac:dyDescent="0.35">
      <c r="B56" s="9">
        <f t="shared" si="0"/>
        <v>1997</v>
      </c>
    </row>
    <row r="57" spans="2:4" x14ac:dyDescent="0.35">
      <c r="B57" s="9">
        <f t="shared" si="0"/>
        <v>1998</v>
      </c>
    </row>
    <row r="58" spans="2:4" x14ac:dyDescent="0.35">
      <c r="B58" s="9">
        <f t="shared" si="0"/>
        <v>1999</v>
      </c>
      <c r="D58" t="s">
        <v>112</v>
      </c>
    </row>
    <row r="59" spans="2:4" x14ac:dyDescent="0.35">
      <c r="B59" s="9">
        <f t="shared" si="0"/>
        <v>2000</v>
      </c>
      <c r="D59">
        <f>B59</f>
        <v>2000</v>
      </c>
    </row>
    <row r="60" spans="2:4" x14ac:dyDescent="0.35">
      <c r="B60" s="9">
        <f t="shared" si="0"/>
        <v>2001</v>
      </c>
      <c r="D60">
        <f t="shared" ref="D60:D79" si="1">B60</f>
        <v>2001</v>
      </c>
    </row>
    <row r="61" spans="2:4" x14ac:dyDescent="0.35">
      <c r="B61" s="9">
        <f t="shared" si="0"/>
        <v>2002</v>
      </c>
      <c r="D61">
        <f t="shared" si="1"/>
        <v>2002</v>
      </c>
    </row>
    <row r="62" spans="2:4" x14ac:dyDescent="0.35">
      <c r="B62" s="9">
        <f t="shared" si="0"/>
        <v>2003</v>
      </c>
      <c r="D62">
        <f t="shared" si="1"/>
        <v>2003</v>
      </c>
    </row>
    <row r="63" spans="2:4" x14ac:dyDescent="0.35">
      <c r="B63" s="9">
        <f t="shared" si="0"/>
        <v>2004</v>
      </c>
      <c r="D63">
        <f t="shared" si="1"/>
        <v>2004</v>
      </c>
    </row>
    <row r="64" spans="2:4" x14ac:dyDescent="0.35">
      <c r="B64" s="9">
        <f t="shared" si="0"/>
        <v>2005</v>
      </c>
      <c r="D64">
        <f t="shared" si="1"/>
        <v>2005</v>
      </c>
    </row>
    <row r="65" spans="2:4" x14ac:dyDescent="0.35">
      <c r="B65" s="9">
        <f t="shared" si="0"/>
        <v>2006</v>
      </c>
      <c r="D65">
        <f t="shared" si="1"/>
        <v>2006</v>
      </c>
    </row>
    <row r="66" spans="2:4" x14ac:dyDescent="0.35">
      <c r="B66" s="9">
        <f t="shared" si="0"/>
        <v>2007</v>
      </c>
      <c r="D66">
        <f t="shared" si="1"/>
        <v>2007</v>
      </c>
    </row>
    <row r="67" spans="2:4" x14ac:dyDescent="0.35">
      <c r="B67" s="9">
        <f t="shared" si="0"/>
        <v>2008</v>
      </c>
      <c r="D67">
        <f t="shared" si="1"/>
        <v>2008</v>
      </c>
    </row>
    <row r="68" spans="2:4" x14ac:dyDescent="0.35">
      <c r="B68" s="9">
        <f t="shared" si="0"/>
        <v>2009</v>
      </c>
      <c r="D68">
        <f t="shared" si="1"/>
        <v>2009</v>
      </c>
    </row>
    <row r="69" spans="2:4" x14ac:dyDescent="0.35">
      <c r="B69" s="9">
        <f t="shared" si="0"/>
        <v>2010</v>
      </c>
      <c r="D69">
        <f t="shared" si="1"/>
        <v>2010</v>
      </c>
    </row>
    <row r="70" spans="2:4" x14ac:dyDescent="0.35">
      <c r="B70" s="9">
        <f t="shared" si="0"/>
        <v>2011</v>
      </c>
      <c r="D70">
        <f t="shared" si="1"/>
        <v>2011</v>
      </c>
    </row>
    <row r="71" spans="2:4" x14ac:dyDescent="0.35">
      <c r="B71" s="9">
        <f t="shared" si="0"/>
        <v>2012</v>
      </c>
      <c r="D71">
        <f t="shared" si="1"/>
        <v>2012</v>
      </c>
    </row>
    <row r="72" spans="2:4" x14ac:dyDescent="0.35">
      <c r="B72" s="9">
        <f t="shared" si="0"/>
        <v>2013</v>
      </c>
      <c r="D72">
        <f t="shared" si="1"/>
        <v>2013</v>
      </c>
    </row>
    <row r="73" spans="2:4" x14ac:dyDescent="0.35">
      <c r="B73" s="9">
        <f t="shared" si="0"/>
        <v>2014</v>
      </c>
      <c r="D73">
        <f t="shared" si="1"/>
        <v>2014</v>
      </c>
    </row>
    <row r="74" spans="2:4" x14ac:dyDescent="0.35">
      <c r="B74" s="9">
        <f t="shared" si="0"/>
        <v>2015</v>
      </c>
      <c r="D74">
        <f t="shared" si="1"/>
        <v>2015</v>
      </c>
    </row>
    <row r="75" spans="2:4" x14ac:dyDescent="0.35">
      <c r="B75" s="9">
        <f t="shared" si="0"/>
        <v>2016</v>
      </c>
      <c r="D75">
        <f t="shared" si="1"/>
        <v>2016</v>
      </c>
    </row>
    <row r="76" spans="2:4" x14ac:dyDescent="0.35">
      <c r="B76" s="9">
        <f t="shared" si="0"/>
        <v>2017</v>
      </c>
      <c r="D76">
        <f t="shared" si="1"/>
        <v>2017</v>
      </c>
    </row>
    <row r="77" spans="2:4" x14ac:dyDescent="0.35">
      <c r="B77" s="9">
        <f t="shared" si="0"/>
        <v>2018</v>
      </c>
      <c r="D77">
        <f t="shared" si="1"/>
        <v>2018</v>
      </c>
    </row>
    <row r="78" spans="2:4" x14ac:dyDescent="0.35">
      <c r="B78" s="9">
        <f t="shared" si="0"/>
        <v>2019</v>
      </c>
      <c r="D78">
        <f t="shared" si="1"/>
        <v>2019</v>
      </c>
    </row>
    <row r="79" spans="2:4" ht="15" thickBot="1" x14ac:dyDescent="0.4">
      <c r="B79" s="10">
        <f t="shared" si="0"/>
        <v>2020</v>
      </c>
      <c r="D79">
        <f t="shared" si="1"/>
        <v>2020</v>
      </c>
    </row>
    <row r="80" spans="2:4" ht="15.5" thickTop="1" thickBot="1" x14ac:dyDescent="0.4">
      <c r="B80" t="s">
        <v>39</v>
      </c>
    </row>
    <row r="81" spans="2:2" ht="15" thickTop="1" x14ac:dyDescent="0.35">
      <c r="B81" s="2" t="s">
        <v>43</v>
      </c>
    </row>
    <row r="82" spans="2:2" x14ac:dyDescent="0.35">
      <c r="B82" s="3" t="s">
        <v>40</v>
      </c>
    </row>
    <row r="83" spans="2:2" x14ac:dyDescent="0.35">
      <c r="B83" s="3" t="s">
        <v>41</v>
      </c>
    </row>
    <row r="84" spans="2:2" x14ac:dyDescent="0.35">
      <c r="B84" s="3" t="s">
        <v>42</v>
      </c>
    </row>
    <row r="85" spans="2:2" ht="15" thickBot="1" x14ac:dyDescent="0.4">
      <c r="B85" s="6" t="s">
        <v>44</v>
      </c>
    </row>
    <row r="86" spans="2:2" ht="15" thickTop="1" x14ac:dyDescent="0.35"/>
    <row r="87" spans="2:2" ht="15" thickBot="1" x14ac:dyDescent="0.4">
      <c r="B87" s="7" t="s">
        <v>45</v>
      </c>
    </row>
    <row r="88" spans="2:2" ht="15" thickTop="1" x14ac:dyDescent="0.35">
      <c r="B88" s="11" t="s">
        <v>46</v>
      </c>
    </row>
    <row r="89" spans="2:2" x14ac:dyDescent="0.35">
      <c r="B89" s="9" t="s">
        <v>47</v>
      </c>
    </row>
    <row r="90" spans="2:2" x14ac:dyDescent="0.35">
      <c r="B90" s="9" t="s">
        <v>48</v>
      </c>
    </row>
    <row r="91" spans="2:2" x14ac:dyDescent="0.35">
      <c r="B91" s="9" t="s">
        <v>49</v>
      </c>
    </row>
    <row r="92" spans="2:2" x14ac:dyDescent="0.35">
      <c r="B92" s="9" t="s">
        <v>50</v>
      </c>
    </row>
    <row r="93" spans="2:2" x14ac:dyDescent="0.35">
      <c r="B93" s="9" t="s">
        <v>51</v>
      </c>
    </row>
    <row r="94" spans="2:2" x14ac:dyDescent="0.35">
      <c r="B94" s="9" t="s">
        <v>52</v>
      </c>
    </row>
    <row r="95" spans="2:2" ht="15" thickBot="1" x14ac:dyDescent="0.4">
      <c r="B95" s="10" t="s">
        <v>44</v>
      </c>
    </row>
    <row r="96" spans="2:2" ht="15.5" thickTop="1" thickBot="1" x14ac:dyDescent="0.4">
      <c r="B96" s="13" t="s">
        <v>59</v>
      </c>
    </row>
    <row r="97" spans="2:2" ht="15" thickTop="1" x14ac:dyDescent="0.35">
      <c r="B97" s="14" t="s">
        <v>53</v>
      </c>
    </row>
    <row r="98" spans="2:2" x14ac:dyDescent="0.35">
      <c r="B98" s="9" t="s">
        <v>54</v>
      </c>
    </row>
    <row r="99" spans="2:2" x14ac:dyDescent="0.35">
      <c r="B99" s="9" t="s">
        <v>55</v>
      </c>
    </row>
    <row r="100" spans="2:2" x14ac:dyDescent="0.35">
      <c r="B100" s="9" t="s">
        <v>56</v>
      </c>
    </row>
    <row r="101" spans="2:2" x14ac:dyDescent="0.35">
      <c r="B101" s="9" t="s">
        <v>57</v>
      </c>
    </row>
    <row r="102" spans="2:2" x14ac:dyDescent="0.35">
      <c r="B102" s="12" t="s">
        <v>60</v>
      </c>
    </row>
    <row r="103" spans="2:2" ht="15" thickBot="1" x14ac:dyDescent="0.4">
      <c r="B103" s="10" t="s">
        <v>44</v>
      </c>
    </row>
    <row r="104" spans="2:2" ht="15.5" thickTop="1" thickBot="1" x14ac:dyDescent="0.4">
      <c r="B104" s="15" t="s">
        <v>66</v>
      </c>
    </row>
    <row r="105" spans="2:2" ht="15" thickTop="1" x14ac:dyDescent="0.35">
      <c r="B105" s="11" t="s">
        <v>61</v>
      </c>
    </row>
    <row r="106" spans="2:2" x14ac:dyDescent="0.35">
      <c r="B106" s="9" t="s">
        <v>62</v>
      </c>
    </row>
    <row r="107" spans="2:2" x14ac:dyDescent="0.35">
      <c r="B107" s="9" t="s">
        <v>63</v>
      </c>
    </row>
    <row r="108" spans="2:2" x14ac:dyDescent="0.35">
      <c r="B108" s="9" t="s">
        <v>64</v>
      </c>
    </row>
    <row r="109" spans="2:2" x14ac:dyDescent="0.35">
      <c r="B109" s="9" t="s">
        <v>65</v>
      </c>
    </row>
    <row r="110" spans="2:2" x14ac:dyDescent="0.35">
      <c r="B110" s="9" t="s">
        <v>67</v>
      </c>
    </row>
    <row r="111" spans="2:2" x14ac:dyDescent="0.35">
      <c r="B111" s="12" t="s">
        <v>68</v>
      </c>
    </row>
    <row r="112" spans="2:2" ht="15" thickBot="1" x14ac:dyDescent="0.4">
      <c r="B112" s="16" t="s">
        <v>44</v>
      </c>
    </row>
    <row r="113" spans="2:6" ht="15.5" thickTop="1" thickBot="1" x14ac:dyDescent="0.4">
      <c r="B113" s="13" t="s">
        <v>8</v>
      </c>
    </row>
    <row r="114" spans="2:6" ht="15" thickTop="1" x14ac:dyDescent="0.35">
      <c r="B114" s="11" t="s">
        <v>69</v>
      </c>
    </row>
    <row r="115" spans="2:6" x14ac:dyDescent="0.35">
      <c r="B115" s="9" t="s">
        <v>58</v>
      </c>
    </row>
    <row r="116" spans="2:6" x14ac:dyDescent="0.35">
      <c r="B116" s="9" t="s">
        <v>70</v>
      </c>
    </row>
    <row r="117" spans="2:6" x14ac:dyDescent="0.35">
      <c r="B117" s="9" t="s">
        <v>71</v>
      </c>
    </row>
    <row r="118" spans="2:6" x14ac:dyDescent="0.35">
      <c r="B118" s="9" t="s">
        <v>72</v>
      </c>
    </row>
    <row r="119" spans="2:6" x14ac:dyDescent="0.35">
      <c r="B119" s="9" t="s">
        <v>73</v>
      </c>
    </row>
    <row r="120" spans="2:6" ht="15" thickBot="1" x14ac:dyDescent="0.4">
      <c r="B120" s="10" t="s">
        <v>44</v>
      </c>
    </row>
    <row r="121" spans="2:6" ht="15.5" thickTop="1" thickBot="1" x14ac:dyDescent="0.4">
      <c r="B121" s="29" t="s">
        <v>98</v>
      </c>
    </row>
    <row r="122" spans="2:6" ht="15" thickTop="1" x14ac:dyDescent="0.35">
      <c r="B122" s="30" t="s">
        <v>99</v>
      </c>
    </row>
    <row r="123" spans="2:6" x14ac:dyDescent="0.35">
      <c r="B123" s="12" t="s">
        <v>95</v>
      </c>
    </row>
    <row r="124" spans="2:6" x14ac:dyDescent="0.35">
      <c r="B124" s="12" t="s">
        <v>96</v>
      </c>
    </row>
    <row r="125" spans="2:6" ht="15" thickBot="1" x14ac:dyDescent="0.4">
      <c r="B125" s="16" t="s">
        <v>97</v>
      </c>
    </row>
    <row r="126" spans="2:6" ht="15.5" thickTop="1" thickBot="1" x14ac:dyDescent="0.4">
      <c r="B126" s="31" t="s">
        <v>82</v>
      </c>
      <c r="F126" s="25"/>
    </row>
    <row r="127" spans="2:6" ht="15.5" thickTop="1" thickBot="1" x14ac:dyDescent="0.4">
      <c r="B127" s="27" t="s">
        <v>83</v>
      </c>
      <c r="F127" s="25"/>
    </row>
    <row r="128" spans="2:6" ht="15" thickBot="1" x14ac:dyDescent="0.4">
      <c r="B128" s="12" t="s">
        <v>84</v>
      </c>
      <c r="F128" s="25"/>
    </row>
    <row r="129" spans="2:6" ht="15" thickBot="1" x14ac:dyDescent="0.4">
      <c r="B129" s="16" t="s">
        <v>85</v>
      </c>
      <c r="F129" s="25"/>
    </row>
    <row r="130" spans="2:6" ht="15.5" thickTop="1" thickBot="1" x14ac:dyDescent="0.4">
      <c r="B130" s="28" t="s">
        <v>100</v>
      </c>
      <c r="F130" s="25"/>
    </row>
    <row r="131" spans="2:6" ht="15.5" thickTop="1" thickBot="1" x14ac:dyDescent="0.4">
      <c r="B131" s="27" t="s">
        <v>86</v>
      </c>
      <c r="F131" s="25"/>
    </row>
    <row r="132" spans="2:6" ht="15" thickBot="1" x14ac:dyDescent="0.4">
      <c r="B132" s="12" t="s">
        <v>87</v>
      </c>
      <c r="F132" s="25"/>
    </row>
    <row r="133" spans="2:6" ht="15" thickBot="1" x14ac:dyDescent="0.4">
      <c r="B133" s="16" t="s">
        <v>88</v>
      </c>
      <c r="F133" s="25"/>
    </row>
    <row r="134" spans="2:6" ht="15.5" thickTop="1" thickBot="1" x14ac:dyDescent="0.4">
      <c r="B134" s="28" t="s">
        <v>89</v>
      </c>
      <c r="F134" s="25"/>
    </row>
    <row r="135" spans="2:6" ht="15.5" thickTop="1" thickBot="1" x14ac:dyDescent="0.4">
      <c r="B135" s="27" t="s">
        <v>90</v>
      </c>
      <c r="F135" s="25"/>
    </row>
    <row r="136" spans="2:6" ht="15" thickBot="1" x14ac:dyDescent="0.4">
      <c r="B136" s="12" t="s">
        <v>91</v>
      </c>
      <c r="F136" s="25"/>
    </row>
    <row r="137" spans="2:6" ht="15" thickBot="1" x14ac:dyDescent="0.4">
      <c r="B137" s="16" t="s">
        <v>92</v>
      </c>
    </row>
    <row r="138" spans="2:6" ht="15.5" thickTop="1" thickBot="1" x14ac:dyDescent="0.4">
      <c r="B138" s="26" t="s">
        <v>93</v>
      </c>
    </row>
    <row r="139" spans="2:6" ht="15" thickTop="1" x14ac:dyDescent="0.35">
      <c r="B139" s="27" t="s">
        <v>90</v>
      </c>
    </row>
    <row r="140" spans="2:6" x14ac:dyDescent="0.35">
      <c r="B140" s="12" t="s">
        <v>94</v>
      </c>
    </row>
    <row r="141" spans="2:6" ht="15" thickBot="1" x14ac:dyDescent="0.4">
      <c r="B141" s="16" t="s">
        <v>92</v>
      </c>
    </row>
    <row r="142" spans="2:6" ht="15.5" thickTop="1" thickBot="1" x14ac:dyDescent="0.4">
      <c r="B142" s="53" t="s">
        <v>166</v>
      </c>
    </row>
    <row r="143" spans="2:6" ht="15" thickTop="1" x14ac:dyDescent="0.35">
      <c r="B143" s="27" t="s">
        <v>162</v>
      </c>
    </row>
    <row r="144" spans="2:6" x14ac:dyDescent="0.35">
      <c r="B144" s="12" t="s">
        <v>161</v>
      </c>
    </row>
    <row r="145" spans="2:2" ht="15" thickBot="1" x14ac:dyDescent="0.4">
      <c r="B145" s="16" t="s">
        <v>129</v>
      </c>
    </row>
    <row r="146" spans="2:2" ht="15.5" thickTop="1" thickBot="1" x14ac:dyDescent="0.4">
      <c r="B146" s="28" t="s">
        <v>167</v>
      </c>
    </row>
    <row r="147" spans="2:2" ht="15" thickTop="1" x14ac:dyDescent="0.35">
      <c r="B147" s="11" t="s">
        <v>158</v>
      </c>
    </row>
    <row r="148" spans="2:2" x14ac:dyDescent="0.35">
      <c r="B148" s="9" t="s">
        <v>159</v>
      </c>
    </row>
    <row r="149" spans="2:2" ht="15" thickBot="1" x14ac:dyDescent="0.4">
      <c r="B149" s="10" t="s">
        <v>160</v>
      </c>
    </row>
    <row r="150" spans="2:2" ht="15.5" thickTop="1" thickBot="1" x14ac:dyDescent="0.4">
      <c r="B150" s="28" t="s">
        <v>168</v>
      </c>
    </row>
    <row r="151" spans="2:2" ht="15" thickTop="1" x14ac:dyDescent="0.35">
      <c r="B151" s="27" t="s">
        <v>163</v>
      </c>
    </row>
    <row r="152" spans="2:2" x14ac:dyDescent="0.35">
      <c r="B152" s="12" t="s">
        <v>164</v>
      </c>
    </row>
    <row r="153" spans="2:2" ht="15" thickBot="1" x14ac:dyDescent="0.4">
      <c r="B153" s="16" t="s">
        <v>88</v>
      </c>
    </row>
    <row r="154" spans="2:2" ht="15.5" thickTop="1" thickBot="1" x14ac:dyDescent="0.4">
      <c r="B154" s="28" t="s">
        <v>165</v>
      </c>
    </row>
    <row r="155" spans="2:2" ht="15" thickTop="1" x14ac:dyDescent="0.35">
      <c r="B155" s="11" t="s">
        <v>169</v>
      </c>
    </row>
    <row r="156" spans="2:2" ht="15" thickBot="1" x14ac:dyDescent="0.4">
      <c r="B156" s="10" t="s">
        <v>170</v>
      </c>
    </row>
    <row r="157" spans="2:2" ht="15.5" thickTop="1" thickBot="1" x14ac:dyDescent="0.4">
      <c r="B157" s="28" t="s">
        <v>177</v>
      </c>
    </row>
    <row r="158" spans="2:2" ht="15" thickTop="1" x14ac:dyDescent="0.35">
      <c r="B158" s="27" t="s">
        <v>178</v>
      </c>
    </row>
    <row r="159" spans="2:2" ht="15" thickBot="1" x14ac:dyDescent="0.4">
      <c r="B159" s="16" t="s">
        <v>179</v>
      </c>
    </row>
    <row r="160" spans="2:2" ht="15.5" thickTop="1" thickBot="1" x14ac:dyDescent="0.4">
      <c r="B160" s="28" t="s">
        <v>180</v>
      </c>
    </row>
    <row r="161" spans="2:2" ht="15" thickTop="1" x14ac:dyDescent="0.35">
      <c r="B161" s="27" t="s">
        <v>181</v>
      </c>
    </row>
    <row r="162" spans="2:2" ht="15" thickBot="1" x14ac:dyDescent="0.4">
      <c r="B162" s="16" t="s">
        <v>182</v>
      </c>
    </row>
    <row r="163" spans="2:2" ht="15.5" thickTop="1" thickBot="1" x14ac:dyDescent="0.4">
      <c r="B163" s="28" t="s">
        <v>183</v>
      </c>
    </row>
    <row r="164" spans="2:2" ht="15" thickTop="1" x14ac:dyDescent="0.35">
      <c r="B164" s="11" t="s">
        <v>158</v>
      </c>
    </row>
    <row r="165" spans="2:2" x14ac:dyDescent="0.35">
      <c r="B165" s="9" t="s">
        <v>159</v>
      </c>
    </row>
    <row r="166" spans="2:2" ht="15" thickBot="1" x14ac:dyDescent="0.4">
      <c r="B166" s="10" t="s">
        <v>160</v>
      </c>
    </row>
    <row r="167" spans="2:2" ht="15.5" thickTop="1" thickBot="1" x14ac:dyDescent="0.4">
      <c r="B167" s="28" t="s">
        <v>184</v>
      </c>
    </row>
    <row r="168" spans="2:2" ht="15" thickTop="1" x14ac:dyDescent="0.35">
      <c r="B168" s="27" t="s">
        <v>163</v>
      </c>
    </row>
    <row r="169" spans="2:2" x14ac:dyDescent="0.35">
      <c r="B169" s="12" t="s">
        <v>164</v>
      </c>
    </row>
    <row r="170" spans="2:2" ht="15" thickBot="1" x14ac:dyDescent="0.4">
      <c r="B170" s="16" t="s">
        <v>158</v>
      </c>
    </row>
    <row r="171" spans="2:2" ht="15.5" thickTop="1" thickBot="1" x14ac:dyDescent="0.4">
      <c r="B171" s="28" t="s">
        <v>188</v>
      </c>
    </row>
    <row r="172" spans="2:2" ht="15" thickTop="1" x14ac:dyDescent="0.35">
      <c r="B172" s="27" t="s">
        <v>189</v>
      </c>
    </row>
    <row r="173" spans="2:2" x14ac:dyDescent="0.35">
      <c r="B173" s="12" t="s">
        <v>190</v>
      </c>
    </row>
    <row r="174" spans="2:2" ht="15" thickBot="1" x14ac:dyDescent="0.4">
      <c r="B174" s="16" t="s">
        <v>191</v>
      </c>
    </row>
    <row r="175" spans="2:2" ht="15.5" thickTop="1" thickBot="1" x14ac:dyDescent="0.4">
      <c r="B175" s="28" t="s">
        <v>234</v>
      </c>
    </row>
    <row r="176" spans="2:2" ht="15" thickTop="1" x14ac:dyDescent="0.35">
      <c r="B176" s="11" t="s">
        <v>266</v>
      </c>
    </row>
    <row r="177" spans="2:2" x14ac:dyDescent="0.35">
      <c r="B177" s="9" t="s">
        <v>267</v>
      </c>
    </row>
    <row r="178" spans="2:2" ht="15" thickBot="1" x14ac:dyDescent="0.4">
      <c r="B178" s="10" t="s">
        <v>268</v>
      </c>
    </row>
    <row r="179" spans="2:2" ht="15.5" thickTop="1" thickBot="1" x14ac:dyDescent="0.4">
      <c r="B179" s="28" t="s">
        <v>224</v>
      </c>
    </row>
    <row r="180" spans="2:2" ht="15" thickTop="1" x14ac:dyDescent="0.35">
      <c r="B180" s="27" t="s">
        <v>164</v>
      </c>
    </row>
    <row r="181" spans="2:2" x14ac:dyDescent="0.35">
      <c r="B181" s="12" t="s">
        <v>159</v>
      </c>
    </row>
    <row r="182" spans="2:2" x14ac:dyDescent="0.35">
      <c r="B182" s="12" t="s">
        <v>254</v>
      </c>
    </row>
    <row r="183" spans="2:2" ht="15" thickBot="1" x14ac:dyDescent="0.4">
      <c r="B183" s="16" t="s">
        <v>237</v>
      </c>
    </row>
    <row r="184" spans="2:2" ht="15.5" thickTop="1" thickBot="1" x14ac:dyDescent="0.4">
      <c r="B184" s="26" t="s">
        <v>238</v>
      </c>
    </row>
    <row r="185" spans="2:2" ht="15" thickTop="1" x14ac:dyDescent="0.35">
      <c r="B185" s="27" t="s">
        <v>164</v>
      </c>
    </row>
    <row r="186" spans="2:2" x14ac:dyDescent="0.35">
      <c r="B186" s="12" t="s">
        <v>159</v>
      </c>
    </row>
    <row r="187" spans="2:2" ht="15" thickBot="1" x14ac:dyDescent="0.4">
      <c r="B187" s="16" t="s">
        <v>239</v>
      </c>
    </row>
    <row r="188" spans="2:2" ht="15.5" thickTop="1" thickBot="1" x14ac:dyDescent="0.4">
      <c r="B188" s="28" t="s">
        <v>240</v>
      </c>
    </row>
    <row r="189" spans="2:2" ht="15" thickTop="1" x14ac:dyDescent="0.35">
      <c r="B189" s="27" t="s">
        <v>241</v>
      </c>
    </row>
    <row r="190" spans="2:2" ht="15" thickBot="1" x14ac:dyDescent="0.4">
      <c r="B190" s="16" t="s">
        <v>242</v>
      </c>
    </row>
    <row r="191" spans="2:2" ht="15.5" thickTop="1" thickBot="1" x14ac:dyDescent="0.4">
      <c r="B191" s="28" t="s">
        <v>250</v>
      </c>
    </row>
    <row r="192" spans="2:2" ht="15" thickTop="1" x14ac:dyDescent="0.35">
      <c r="B192" s="27" t="s">
        <v>253</v>
      </c>
    </row>
    <row r="193" spans="2:2" x14ac:dyDescent="0.35">
      <c r="B193" s="12" t="s">
        <v>251</v>
      </c>
    </row>
    <row r="194" spans="2:2" ht="15" thickBot="1" x14ac:dyDescent="0.4">
      <c r="B194" s="16" t="s">
        <v>252</v>
      </c>
    </row>
    <row r="195" spans="2:2" ht="15.5" thickTop="1" thickBot="1" x14ac:dyDescent="0.4">
      <c r="B195" s="28" t="s">
        <v>250</v>
      </c>
    </row>
    <row r="196" spans="2:2" ht="15" thickTop="1" x14ac:dyDescent="0.35">
      <c r="B196" s="11" t="s">
        <v>256</v>
      </c>
    </row>
    <row r="197" spans="2:2" x14ac:dyDescent="0.35">
      <c r="B197" s="9" t="s">
        <v>257</v>
      </c>
    </row>
    <row r="198" spans="2:2" ht="15" thickBot="1" x14ac:dyDescent="0.4">
      <c r="B198" s="10" t="s">
        <v>255</v>
      </c>
    </row>
    <row r="199" spans="2:2" ht="15.5" thickTop="1" thickBot="1" x14ac:dyDescent="0.4">
      <c r="B199" s="55"/>
    </row>
    <row r="200" spans="2:2" ht="15" thickTop="1" x14ac:dyDescent="0.35">
      <c r="B200" s="27" t="s">
        <v>263</v>
      </c>
    </row>
    <row r="201" spans="2:2" ht="15" thickBot="1" x14ac:dyDescent="0.4">
      <c r="B201" s="16" t="s">
        <v>264</v>
      </c>
    </row>
    <row r="202" spans="2:2" ht="15" thickTop="1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25"/>
  <sheetViews>
    <sheetView zoomScale="120" zoomScaleNormal="120" workbookViewId="0"/>
  </sheetViews>
  <sheetFormatPr defaultColWidth="8.81640625" defaultRowHeight="14.5" x14ac:dyDescent="0.35"/>
  <cols>
    <col min="1" max="1" width="3.6328125" customWidth="1"/>
    <col min="3" max="3" width="15.6328125" style="1" customWidth="1"/>
    <col min="4" max="4" width="20.453125" style="1" customWidth="1"/>
    <col min="5" max="10" width="18.6328125" style="1" customWidth="1"/>
    <col min="11" max="11" width="11.6328125" style="1" customWidth="1"/>
    <col min="12" max="12" width="18.6328125" style="1" customWidth="1"/>
    <col min="13" max="13" width="6.453125" style="1" customWidth="1"/>
    <col min="14" max="19" width="9.6328125" style="1" customWidth="1"/>
    <col min="20" max="20" width="11.6328125" style="1" customWidth="1"/>
    <col min="21" max="21" width="9" style="1" customWidth="1"/>
    <col min="22" max="22" width="11.6328125" customWidth="1"/>
    <col min="23" max="23" width="12.36328125" customWidth="1"/>
    <col min="25" max="25" width="13.6328125" customWidth="1"/>
    <col min="32" max="32" width="11.1796875" customWidth="1"/>
    <col min="38" max="38" width="9.81640625" customWidth="1"/>
  </cols>
  <sheetData>
    <row r="1" spans="2:39" x14ac:dyDescent="0.35">
      <c r="V1" s="409">
        <v>250</v>
      </c>
      <c r="W1" s="409">
        <v>100</v>
      </c>
      <c r="X1" s="409">
        <v>100</v>
      </c>
      <c r="Y1" s="409"/>
      <c r="Z1" s="409"/>
    </row>
    <row r="2" spans="2:39" x14ac:dyDescent="0.35">
      <c r="V2" s="409">
        <v>60</v>
      </c>
      <c r="W2" s="409">
        <v>50</v>
      </c>
      <c r="X2" s="409"/>
      <c r="Y2" s="409"/>
      <c r="Z2" s="409"/>
    </row>
    <row r="3" spans="2:39" ht="29" customHeight="1" x14ac:dyDescent="0.35">
      <c r="B3" s="486"/>
      <c r="C3" s="487"/>
      <c r="D3" s="487"/>
      <c r="E3" s="488"/>
      <c r="F3" s="60"/>
      <c r="G3" s="60"/>
      <c r="H3" s="60"/>
      <c r="I3" s="65"/>
      <c r="J3" s="65"/>
      <c r="K3" s="489"/>
      <c r="L3" s="490"/>
      <c r="M3" s="491"/>
      <c r="N3" s="492"/>
      <c r="O3" s="492"/>
      <c r="P3" s="492"/>
      <c r="Q3" s="493" t="s">
        <v>108</v>
      </c>
      <c r="R3" s="494"/>
      <c r="S3" s="494"/>
      <c r="T3" s="54"/>
      <c r="V3" s="484" t="s">
        <v>2690</v>
      </c>
      <c r="W3" s="485"/>
      <c r="X3" s="485"/>
      <c r="Y3" s="410"/>
      <c r="Z3" s="410"/>
      <c r="AC3" s="87">
        <v>2</v>
      </c>
      <c r="AD3" s="87">
        <v>4</v>
      </c>
      <c r="AE3" s="87">
        <v>1</v>
      </c>
      <c r="AF3" s="87">
        <v>4</v>
      </c>
      <c r="AI3" s="87">
        <v>2</v>
      </c>
      <c r="AJ3" s="87">
        <v>4</v>
      </c>
      <c r="AK3" s="87">
        <v>1</v>
      </c>
      <c r="AL3" s="87">
        <v>4</v>
      </c>
    </row>
    <row r="4" spans="2:39" ht="58.5" customHeight="1" x14ac:dyDescent="0.35">
      <c r="B4" s="90" t="s">
        <v>20</v>
      </c>
      <c r="C4" s="89" t="s">
        <v>113</v>
      </c>
      <c r="D4" s="84" t="s">
        <v>114</v>
      </c>
      <c r="E4" s="76" t="s">
        <v>115</v>
      </c>
      <c r="F4" s="76" t="s">
        <v>121</v>
      </c>
      <c r="G4" s="483" t="s">
        <v>340</v>
      </c>
      <c r="H4" s="483"/>
      <c r="I4" s="483" t="s">
        <v>341</v>
      </c>
      <c r="J4" s="483"/>
      <c r="K4" s="77" t="s">
        <v>11</v>
      </c>
      <c r="L4" s="77" t="s">
        <v>77</v>
      </c>
      <c r="M4" s="78" t="s">
        <v>116</v>
      </c>
      <c r="N4" s="78" t="s">
        <v>117</v>
      </c>
      <c r="O4" s="78" t="s">
        <v>1200</v>
      </c>
      <c r="P4" s="78" t="s">
        <v>118</v>
      </c>
      <c r="Q4" s="79" t="s">
        <v>103</v>
      </c>
      <c r="R4" s="79" t="s">
        <v>104</v>
      </c>
      <c r="S4" s="79" t="s">
        <v>119</v>
      </c>
      <c r="T4" s="79" t="s">
        <v>156</v>
      </c>
      <c r="U4" s="76" t="s">
        <v>1969</v>
      </c>
      <c r="V4" s="408" t="s">
        <v>1621</v>
      </c>
      <c r="W4" s="408" t="s">
        <v>2692</v>
      </c>
      <c r="X4" s="408" t="s">
        <v>2693</v>
      </c>
      <c r="Y4" s="410" t="s">
        <v>2694</v>
      </c>
      <c r="Z4" s="410"/>
      <c r="AC4" s="94" t="s">
        <v>103</v>
      </c>
      <c r="AD4" s="94" t="s">
        <v>104</v>
      </c>
      <c r="AE4" s="94" t="s">
        <v>119</v>
      </c>
      <c r="AF4" s="94" t="s">
        <v>156</v>
      </c>
      <c r="AG4" s="83" t="s">
        <v>1977</v>
      </c>
      <c r="AI4" s="94" t="s">
        <v>103</v>
      </c>
      <c r="AJ4" s="94" t="s">
        <v>104</v>
      </c>
      <c r="AK4" s="94" t="s">
        <v>119</v>
      </c>
      <c r="AL4" s="94" t="s">
        <v>156</v>
      </c>
      <c r="AM4" s="83" t="s">
        <v>1978</v>
      </c>
    </row>
    <row r="5" spans="2:39" hidden="1" x14ac:dyDescent="0.35">
      <c r="B5" s="17"/>
      <c r="C5" s="18"/>
      <c r="D5" s="18"/>
      <c r="E5" s="18"/>
      <c r="F5" s="18"/>
      <c r="G5" s="18" t="s">
        <v>302</v>
      </c>
      <c r="H5" s="18" t="s">
        <v>303</v>
      </c>
      <c r="I5" s="18" t="s">
        <v>302</v>
      </c>
      <c r="J5" s="18" t="s">
        <v>303</v>
      </c>
      <c r="K5" s="19"/>
      <c r="L5" s="20"/>
      <c r="M5" s="21"/>
      <c r="N5" s="21"/>
      <c r="O5" s="21"/>
      <c r="P5" s="21"/>
      <c r="Q5" s="23"/>
      <c r="R5" s="23"/>
      <c r="S5" s="23"/>
      <c r="T5" s="23"/>
      <c r="U5" s="69"/>
    </row>
    <row r="6" spans="2:39" s="83" customFormat="1" ht="30" customHeight="1" x14ac:dyDescent="0.35">
      <c r="B6" s="86" t="s">
        <v>384</v>
      </c>
      <c r="C6" s="85" t="s">
        <v>376</v>
      </c>
      <c r="D6" s="85" t="s">
        <v>377</v>
      </c>
      <c r="E6" s="88" t="s">
        <v>178</v>
      </c>
      <c r="F6" s="88" t="s">
        <v>383</v>
      </c>
      <c r="G6" s="91">
        <f>7+22/60+3/3600</f>
        <v>7.3674999999999997</v>
      </c>
      <c r="H6" s="91">
        <f>134+32/60+1/3600</f>
        <v>134.5336111111111</v>
      </c>
      <c r="I6" s="91">
        <f>7+2/60+1/3600</f>
        <v>7.033611111111111</v>
      </c>
      <c r="J6" s="91">
        <f>134+33/60+16/3600</f>
        <v>134.55444444444444</v>
      </c>
      <c r="K6" s="72" t="s">
        <v>380</v>
      </c>
      <c r="L6" s="72">
        <v>2004</v>
      </c>
      <c r="M6" s="73">
        <v>2200</v>
      </c>
      <c r="N6" s="73">
        <v>60</v>
      </c>
      <c r="O6" s="92">
        <v>4880</v>
      </c>
      <c r="P6" s="93">
        <v>3</v>
      </c>
      <c r="Q6" s="81">
        <v>4</v>
      </c>
      <c r="R6" s="81">
        <v>5</v>
      </c>
      <c r="S6" s="81">
        <v>4</v>
      </c>
      <c r="T6" s="81">
        <v>5</v>
      </c>
      <c r="U6" s="101">
        <f>ROUND(AG6/AM6*100,0)</f>
        <v>95</v>
      </c>
      <c r="V6" s="411">
        <f>M6*N6*V$1</f>
        <v>33000000</v>
      </c>
      <c r="W6" s="411">
        <f>W$1*N6*M6</f>
        <v>13200000</v>
      </c>
      <c r="X6" s="411">
        <f>X$1*O6</f>
        <v>488000</v>
      </c>
      <c r="Y6" s="411">
        <f>ROUND(1.5%*W6+2%*X6,-2)</f>
        <v>207800</v>
      </c>
      <c r="Z6" s="411"/>
      <c r="AC6" s="87">
        <f>IF(OR(Q6=1,Q6=2,Q6=3,Q6=4,Q6=5),Q6,0)</f>
        <v>4</v>
      </c>
      <c r="AD6" s="87">
        <f>IF(OR(R6=1,R6=2,R6=3,R6=4,R6=5),R6,0)</f>
        <v>5</v>
      </c>
      <c r="AE6" s="87">
        <f>IF(OR(S6=1,S6=2,S6=3,S6=4,S6=5),S6,0)</f>
        <v>4</v>
      </c>
      <c r="AF6" s="87">
        <f>IF(OR(T6=1,T6=2,T6=3,T6=4,T6=5),T6,0)</f>
        <v>5</v>
      </c>
      <c r="AG6" s="87">
        <f>AC$3*AC6+AD$3*AD6+AE$3*AE6+AF$3*AF6</f>
        <v>52</v>
      </c>
      <c r="AH6" s="87"/>
      <c r="AI6" s="87">
        <f>IF(OR(Q6=1,Q6=2,Q6=3,Q6=4,Q6=5),5,0)</f>
        <v>5</v>
      </c>
      <c r="AJ6" s="87">
        <f>IF(OR(R6=1,R6=2,R6=3,R6=4,R6=5),5,0)</f>
        <v>5</v>
      </c>
      <c r="AK6" s="87">
        <f>IF(OR(S6=1,S6=2,S6=3,S6=4,S6=5),5,0)</f>
        <v>5</v>
      </c>
      <c r="AL6" s="87">
        <f>IF(OR(T6=1,T6=2,T6=3,T6=4,T6=5),5,0)</f>
        <v>5</v>
      </c>
      <c r="AM6" s="87">
        <f>AI$3*AI6+AJ$3*AJ6+AK$3*AK6+AL$3*AL6</f>
        <v>55</v>
      </c>
    </row>
    <row r="7" spans="2:39" s="83" customFormat="1" ht="30" customHeight="1" x14ac:dyDescent="0.35">
      <c r="B7" s="86" t="s">
        <v>385</v>
      </c>
      <c r="C7" s="85" t="s">
        <v>378</v>
      </c>
      <c r="D7" s="85" t="s">
        <v>377</v>
      </c>
      <c r="E7" s="88" t="s">
        <v>379</v>
      </c>
      <c r="F7" s="88" t="s">
        <v>383</v>
      </c>
      <c r="G7" s="91">
        <f>7+21/60+54/3600</f>
        <v>7.3649999999999993</v>
      </c>
      <c r="H7" s="91">
        <f>134+31/60+55/3600</f>
        <v>134.53194444444446</v>
      </c>
      <c r="I7" s="91">
        <f>7+21/60+54/3600</f>
        <v>7.3649999999999993</v>
      </c>
      <c r="J7" s="91">
        <f>134+32/60+1/3600</f>
        <v>134.5336111111111</v>
      </c>
      <c r="K7" s="72" t="s">
        <v>380</v>
      </c>
      <c r="L7" s="72">
        <v>2014</v>
      </c>
      <c r="M7" s="73">
        <v>195</v>
      </c>
      <c r="N7" s="73">
        <v>120</v>
      </c>
      <c r="O7" s="73" t="s">
        <v>1269</v>
      </c>
      <c r="P7" s="93">
        <v>3</v>
      </c>
      <c r="Q7" s="81">
        <v>5</v>
      </c>
      <c r="R7" s="81">
        <v>5</v>
      </c>
      <c r="S7" s="81">
        <v>5</v>
      </c>
      <c r="T7" s="81">
        <v>5</v>
      </c>
      <c r="U7" s="101">
        <f t="shared" ref="U7:U13" si="0">ROUND(AG7/AM7*100,0)</f>
        <v>100</v>
      </c>
      <c r="V7" s="411">
        <f t="shared" ref="V7:V11" si="1">M7*N7*V$1</f>
        <v>5850000</v>
      </c>
      <c r="W7" s="411">
        <f t="shared" ref="W7:W11" si="2">W$1*N7*M7</f>
        <v>2340000</v>
      </c>
      <c r="X7" s="411"/>
      <c r="Y7" s="411">
        <f t="shared" ref="Y7:Y13" si="3">ROUND(1.5%*W7+2%*X7,-2)</f>
        <v>35100</v>
      </c>
      <c r="Z7" s="411"/>
      <c r="AC7" s="87">
        <f t="shared" ref="AC7:AC25" si="4">IF(OR(Q7=1,Q7=2,Q7=3,Q7=4,Q7=5),Q7,0)</f>
        <v>5</v>
      </c>
      <c r="AD7" s="87">
        <f t="shared" ref="AD7:AD25" si="5">IF(OR(R7=1,R7=2,R7=3,R7=4,R7=5),R7,0)</f>
        <v>5</v>
      </c>
      <c r="AE7" s="87">
        <f t="shared" ref="AE7:AE25" si="6">IF(OR(S7=1,S7=2,S7=3,S7=4,S7=5),S7,0)</f>
        <v>5</v>
      </c>
      <c r="AF7" s="87">
        <f t="shared" ref="AF7:AF25" si="7">IF(OR(T7=1,T7=2,T7=3,T7=4,T7=5),T7,0)</f>
        <v>5</v>
      </c>
      <c r="AG7" s="87">
        <f t="shared" ref="AG7:AG25" si="8">AC$3*AC7+AD$3*AD7+AE$3*AE7+AF$3*AF7</f>
        <v>55</v>
      </c>
      <c r="AH7" s="87"/>
      <c r="AI7" s="87">
        <f t="shared" ref="AI7:AI25" si="9">IF(OR(Q7=1,Q7=2,Q7=3,Q7=4,Q7=5),5,0)</f>
        <v>5</v>
      </c>
      <c r="AJ7" s="87">
        <f t="shared" ref="AJ7:AJ25" si="10">IF(OR(R7=1,R7=2,R7=3,R7=4,R7=5),5,0)</f>
        <v>5</v>
      </c>
      <c r="AK7" s="87">
        <f t="shared" ref="AK7:AK25" si="11">IF(OR(S7=1,S7=2,S7=3,S7=4,S7=5),5,0)</f>
        <v>5</v>
      </c>
      <c r="AL7" s="87">
        <f t="shared" ref="AL7:AL25" si="12">IF(OR(T7=1,T7=2,T7=3,T7=4,T7=5),5,0)</f>
        <v>5</v>
      </c>
      <c r="AM7" s="87">
        <f t="shared" ref="AM7:AM25" si="13">AI$3*AI7+AJ$3*AJ7+AK$3*AK7+AL$3*AL7</f>
        <v>55</v>
      </c>
    </row>
    <row r="8" spans="2:39" s="83" customFormat="1" ht="30" customHeight="1" x14ac:dyDescent="0.35">
      <c r="B8" s="86" t="s">
        <v>386</v>
      </c>
      <c r="C8" s="85" t="s">
        <v>381</v>
      </c>
      <c r="D8" s="85" t="s">
        <v>377</v>
      </c>
      <c r="E8" s="88" t="s">
        <v>382</v>
      </c>
      <c r="F8" s="88" t="s">
        <v>383</v>
      </c>
      <c r="G8" s="91">
        <f>7+22/60+9/3600</f>
        <v>7.3691666666666666</v>
      </c>
      <c r="H8" s="91">
        <f>134+32/60+7/3600</f>
        <v>134.53527777777776</v>
      </c>
      <c r="I8" s="91">
        <f>7+22/60+9/3600</f>
        <v>7.3691666666666666</v>
      </c>
      <c r="J8" s="91">
        <f>134+32/60+16/3600</f>
        <v>134.53777777777776</v>
      </c>
      <c r="K8" s="72">
        <v>2011</v>
      </c>
      <c r="L8" s="72" t="s">
        <v>311</v>
      </c>
      <c r="M8" s="73">
        <v>245</v>
      </c>
      <c r="N8" s="73">
        <v>232</v>
      </c>
      <c r="O8" s="73" t="s">
        <v>1269</v>
      </c>
      <c r="P8" s="93">
        <v>3</v>
      </c>
      <c r="Q8" s="81">
        <v>5</v>
      </c>
      <c r="R8" s="81">
        <v>5</v>
      </c>
      <c r="S8" s="81">
        <v>5</v>
      </c>
      <c r="T8" s="81">
        <v>5</v>
      </c>
      <c r="U8" s="101">
        <f t="shared" si="0"/>
        <v>100</v>
      </c>
      <c r="V8" s="411">
        <f t="shared" si="1"/>
        <v>14210000</v>
      </c>
      <c r="W8" s="411">
        <f t="shared" si="2"/>
        <v>5684000</v>
      </c>
      <c r="X8" s="411"/>
      <c r="Y8" s="411">
        <f t="shared" si="3"/>
        <v>85300</v>
      </c>
      <c r="Z8" s="411"/>
      <c r="AC8" s="87">
        <f t="shared" si="4"/>
        <v>5</v>
      </c>
      <c r="AD8" s="87">
        <f t="shared" si="5"/>
        <v>5</v>
      </c>
      <c r="AE8" s="87">
        <f t="shared" si="6"/>
        <v>5</v>
      </c>
      <c r="AF8" s="87">
        <f t="shared" si="7"/>
        <v>5</v>
      </c>
      <c r="AG8" s="87">
        <f t="shared" si="8"/>
        <v>55</v>
      </c>
      <c r="AH8" s="87"/>
      <c r="AI8" s="87">
        <f t="shared" si="9"/>
        <v>5</v>
      </c>
      <c r="AJ8" s="87">
        <f t="shared" si="10"/>
        <v>5</v>
      </c>
      <c r="AK8" s="87">
        <f t="shared" si="11"/>
        <v>5</v>
      </c>
      <c r="AL8" s="87">
        <f t="shared" si="12"/>
        <v>5</v>
      </c>
      <c r="AM8" s="87">
        <f t="shared" si="13"/>
        <v>55</v>
      </c>
    </row>
    <row r="9" spans="2:39" s="83" customFormat="1" ht="30" customHeight="1" x14ac:dyDescent="0.35">
      <c r="B9" s="86" t="s">
        <v>387</v>
      </c>
      <c r="C9" s="85" t="s">
        <v>1167</v>
      </c>
      <c r="D9" s="85" t="s">
        <v>377</v>
      </c>
      <c r="E9" s="88" t="s">
        <v>179</v>
      </c>
      <c r="F9" s="88" t="s">
        <v>383</v>
      </c>
      <c r="G9" s="91">
        <f>7+21/60+57/3600</f>
        <v>7.3658333333333328</v>
      </c>
      <c r="H9" s="91">
        <f>134+32/60+0/3600</f>
        <v>134.53333333333333</v>
      </c>
      <c r="I9" s="91">
        <f>7+22/60+2/3600</f>
        <v>7.3672222222222219</v>
      </c>
      <c r="J9" s="91">
        <f>134+32/60+4/3600</f>
        <v>134.53444444444443</v>
      </c>
      <c r="K9" s="72" t="s">
        <v>380</v>
      </c>
      <c r="L9" s="72">
        <v>2014</v>
      </c>
      <c r="M9" s="73">
        <v>235</v>
      </c>
      <c r="N9" s="73">
        <v>33.5</v>
      </c>
      <c r="O9" s="73" t="s">
        <v>1269</v>
      </c>
      <c r="P9" s="93">
        <v>3</v>
      </c>
      <c r="Q9" s="81">
        <v>5</v>
      </c>
      <c r="R9" s="81">
        <v>5</v>
      </c>
      <c r="S9" s="81">
        <v>5</v>
      </c>
      <c r="T9" s="81">
        <v>5</v>
      </c>
      <c r="U9" s="101">
        <f t="shared" si="0"/>
        <v>100</v>
      </c>
      <c r="V9" s="411">
        <f t="shared" si="1"/>
        <v>1968125</v>
      </c>
      <c r="W9" s="411">
        <f t="shared" si="2"/>
        <v>787250</v>
      </c>
      <c r="X9" s="411"/>
      <c r="Y9" s="411">
        <f t="shared" si="3"/>
        <v>11800</v>
      </c>
      <c r="Z9" s="411"/>
      <c r="AC9" s="87">
        <f t="shared" si="4"/>
        <v>5</v>
      </c>
      <c r="AD9" s="87">
        <f t="shared" si="5"/>
        <v>5</v>
      </c>
      <c r="AE9" s="87">
        <f t="shared" si="6"/>
        <v>5</v>
      </c>
      <c r="AF9" s="87">
        <f t="shared" si="7"/>
        <v>5</v>
      </c>
      <c r="AG9" s="87">
        <f t="shared" si="8"/>
        <v>55</v>
      </c>
      <c r="AH9" s="87"/>
      <c r="AI9" s="87">
        <f t="shared" si="9"/>
        <v>5</v>
      </c>
      <c r="AJ9" s="87">
        <f t="shared" si="10"/>
        <v>5</v>
      </c>
      <c r="AK9" s="87">
        <f t="shared" si="11"/>
        <v>5</v>
      </c>
      <c r="AL9" s="87">
        <f t="shared" si="12"/>
        <v>5</v>
      </c>
      <c r="AM9" s="87">
        <f t="shared" si="13"/>
        <v>55</v>
      </c>
    </row>
    <row r="10" spans="2:39" s="83" customFormat="1" ht="30" customHeight="1" x14ac:dyDescent="0.35">
      <c r="B10" s="86" t="s">
        <v>388</v>
      </c>
      <c r="C10" s="85" t="s">
        <v>1168</v>
      </c>
      <c r="D10" s="85" t="s">
        <v>377</v>
      </c>
      <c r="E10" s="88" t="s">
        <v>179</v>
      </c>
      <c r="F10" s="88" t="s">
        <v>383</v>
      </c>
      <c r="G10" s="91">
        <f>7+22/60+3/3600</f>
        <v>7.3674999999999997</v>
      </c>
      <c r="H10" s="91">
        <f>134+32/60+7/3600</f>
        <v>134.53527777777776</v>
      </c>
      <c r="I10" s="91">
        <f>7+22/60+7/3600</f>
        <v>7.368611111111111</v>
      </c>
      <c r="J10" s="91">
        <f>134+32/60+8/3600</f>
        <v>134.53555555555556</v>
      </c>
      <c r="K10" s="72">
        <v>2011</v>
      </c>
      <c r="L10" s="72" t="s">
        <v>311</v>
      </c>
      <c r="M10" s="73">
        <v>103</v>
      </c>
      <c r="N10" s="73">
        <v>33.5</v>
      </c>
      <c r="O10" s="73" t="s">
        <v>1269</v>
      </c>
      <c r="P10" s="93">
        <v>3</v>
      </c>
      <c r="Q10" s="81">
        <v>5</v>
      </c>
      <c r="R10" s="81">
        <v>5</v>
      </c>
      <c r="S10" s="81">
        <v>5</v>
      </c>
      <c r="T10" s="81">
        <v>5</v>
      </c>
      <c r="U10" s="101">
        <f t="shared" si="0"/>
        <v>100</v>
      </c>
      <c r="V10" s="411">
        <f t="shared" si="1"/>
        <v>862625</v>
      </c>
      <c r="W10" s="411">
        <f t="shared" si="2"/>
        <v>345050</v>
      </c>
      <c r="X10" s="411"/>
      <c r="Y10" s="411">
        <f t="shared" si="3"/>
        <v>5200</v>
      </c>
      <c r="Z10" s="411"/>
      <c r="AC10" s="87">
        <f t="shared" si="4"/>
        <v>5</v>
      </c>
      <c r="AD10" s="87">
        <f t="shared" si="5"/>
        <v>5</v>
      </c>
      <c r="AE10" s="87">
        <f t="shared" si="6"/>
        <v>5</v>
      </c>
      <c r="AF10" s="87">
        <f t="shared" si="7"/>
        <v>5</v>
      </c>
      <c r="AG10" s="87">
        <f t="shared" si="8"/>
        <v>55</v>
      </c>
      <c r="AH10" s="87"/>
      <c r="AI10" s="87">
        <f t="shared" si="9"/>
        <v>5</v>
      </c>
      <c r="AJ10" s="87">
        <f t="shared" si="10"/>
        <v>5</v>
      </c>
      <c r="AK10" s="87">
        <f t="shared" si="11"/>
        <v>5</v>
      </c>
      <c r="AL10" s="87">
        <f t="shared" si="12"/>
        <v>5</v>
      </c>
      <c r="AM10" s="87">
        <f t="shared" si="13"/>
        <v>55</v>
      </c>
    </row>
    <row r="11" spans="2:39" s="83" customFormat="1" ht="30" customHeight="1" x14ac:dyDescent="0.35">
      <c r="B11" s="86" t="s">
        <v>389</v>
      </c>
      <c r="C11" s="85" t="s">
        <v>1169</v>
      </c>
      <c r="D11" s="85" t="s">
        <v>377</v>
      </c>
      <c r="E11" s="88" t="s">
        <v>179</v>
      </c>
      <c r="F11" s="88" t="s">
        <v>383</v>
      </c>
      <c r="G11" s="91">
        <f>7+22/60+3/3600</f>
        <v>7.3674999999999997</v>
      </c>
      <c r="H11" s="91">
        <f>134+32/60+15/3600</f>
        <v>134.53749999999999</v>
      </c>
      <c r="I11" s="91">
        <f>7+22/60+6/3600</f>
        <v>7.3683333333333332</v>
      </c>
      <c r="J11" s="91">
        <f>134+32/60+15/3600</f>
        <v>134.53749999999999</v>
      </c>
      <c r="K11" s="72">
        <v>2011</v>
      </c>
      <c r="L11" s="72" t="s">
        <v>311</v>
      </c>
      <c r="M11" s="73">
        <v>103</v>
      </c>
      <c r="N11" s="73">
        <v>33.5</v>
      </c>
      <c r="O11" s="73" t="s">
        <v>1269</v>
      </c>
      <c r="P11" s="93">
        <v>3</v>
      </c>
      <c r="Q11" s="81">
        <v>5</v>
      </c>
      <c r="R11" s="81">
        <v>5</v>
      </c>
      <c r="S11" s="81">
        <v>5</v>
      </c>
      <c r="T11" s="81">
        <v>5</v>
      </c>
      <c r="U11" s="101">
        <f t="shared" si="0"/>
        <v>100</v>
      </c>
      <c r="V11" s="411">
        <f t="shared" si="1"/>
        <v>862625</v>
      </c>
      <c r="W11" s="411">
        <f t="shared" si="2"/>
        <v>345050</v>
      </c>
      <c r="X11" s="411"/>
      <c r="Y11" s="411">
        <f t="shared" si="3"/>
        <v>5200</v>
      </c>
      <c r="Z11" s="411"/>
      <c r="AC11" s="87">
        <f t="shared" si="4"/>
        <v>5</v>
      </c>
      <c r="AD11" s="87">
        <f t="shared" si="5"/>
        <v>5</v>
      </c>
      <c r="AE11" s="87">
        <f t="shared" si="6"/>
        <v>5</v>
      </c>
      <c r="AF11" s="87">
        <f t="shared" si="7"/>
        <v>5</v>
      </c>
      <c r="AG11" s="87">
        <f t="shared" si="8"/>
        <v>55</v>
      </c>
      <c r="AH11" s="87"/>
      <c r="AI11" s="87">
        <f t="shared" si="9"/>
        <v>5</v>
      </c>
      <c r="AJ11" s="87">
        <f t="shared" si="10"/>
        <v>5</v>
      </c>
      <c r="AK11" s="87">
        <f t="shared" si="11"/>
        <v>5</v>
      </c>
      <c r="AL11" s="87">
        <f t="shared" si="12"/>
        <v>5</v>
      </c>
      <c r="AM11" s="87">
        <f t="shared" si="13"/>
        <v>55</v>
      </c>
    </row>
    <row r="12" spans="2:39" s="83" customFormat="1" ht="30" customHeight="1" x14ac:dyDescent="0.35">
      <c r="B12" s="86" t="s">
        <v>1170</v>
      </c>
      <c r="C12" s="85" t="s">
        <v>1171</v>
      </c>
      <c r="D12" s="85" t="s">
        <v>1172</v>
      </c>
      <c r="E12" s="88" t="s">
        <v>178</v>
      </c>
      <c r="F12" s="88" t="s">
        <v>1173</v>
      </c>
      <c r="G12" s="91">
        <f>6+59/60+31/3600</f>
        <v>6.9919444444444441</v>
      </c>
      <c r="H12" s="91">
        <f>134+13/60+34/3600</f>
        <v>134.22611111111112</v>
      </c>
      <c r="I12" s="91">
        <f>7+0/60+11/3600</f>
        <v>7.0030555555555551</v>
      </c>
      <c r="J12" s="91">
        <f>134+14/60+17/3600</f>
        <v>134.23805555555555</v>
      </c>
      <c r="K12" s="72" t="s">
        <v>1174</v>
      </c>
      <c r="L12" s="72" t="s">
        <v>311</v>
      </c>
      <c r="M12" s="73">
        <v>1840</v>
      </c>
      <c r="N12" s="73">
        <v>60</v>
      </c>
      <c r="O12" s="73" t="s">
        <v>92</v>
      </c>
      <c r="P12" s="73" t="s">
        <v>311</v>
      </c>
      <c r="Q12" s="81">
        <v>2</v>
      </c>
      <c r="R12" s="81">
        <v>1</v>
      </c>
      <c r="S12" s="81" t="s">
        <v>311</v>
      </c>
      <c r="T12" s="81">
        <v>1</v>
      </c>
      <c r="U12" s="101">
        <f t="shared" si="0"/>
        <v>24</v>
      </c>
      <c r="V12" s="411">
        <f>M12*N12*V$2</f>
        <v>6624000</v>
      </c>
      <c r="W12" s="411">
        <f>W$2*N12*M12</f>
        <v>5520000</v>
      </c>
      <c r="X12" s="411"/>
      <c r="Y12" s="411">
        <f t="shared" si="3"/>
        <v>82800</v>
      </c>
      <c r="Z12" s="411"/>
      <c r="AC12" s="87">
        <f t="shared" si="4"/>
        <v>2</v>
      </c>
      <c r="AD12" s="87">
        <f t="shared" si="5"/>
        <v>1</v>
      </c>
      <c r="AE12" s="87">
        <f t="shared" si="6"/>
        <v>0</v>
      </c>
      <c r="AF12" s="87">
        <f t="shared" si="7"/>
        <v>1</v>
      </c>
      <c r="AG12" s="87">
        <f t="shared" si="8"/>
        <v>12</v>
      </c>
      <c r="AH12" s="87"/>
      <c r="AI12" s="87">
        <f t="shared" si="9"/>
        <v>5</v>
      </c>
      <c r="AJ12" s="87">
        <f t="shared" si="10"/>
        <v>5</v>
      </c>
      <c r="AK12" s="87">
        <f t="shared" si="11"/>
        <v>0</v>
      </c>
      <c r="AL12" s="87">
        <f t="shared" si="12"/>
        <v>5</v>
      </c>
      <c r="AM12" s="87">
        <f t="shared" si="13"/>
        <v>50</v>
      </c>
    </row>
    <row r="13" spans="2:39" s="83" customFormat="1" ht="30" customHeight="1" x14ac:dyDescent="0.35">
      <c r="B13" s="86" t="s">
        <v>1197</v>
      </c>
      <c r="C13" s="85" t="s">
        <v>1198</v>
      </c>
      <c r="D13" s="85" t="s">
        <v>1199</v>
      </c>
      <c r="E13" s="88" t="s">
        <v>178</v>
      </c>
      <c r="F13" s="88" t="s">
        <v>1177</v>
      </c>
      <c r="G13" s="91">
        <f>6+53/60+58/3600</f>
        <v>6.8994444444444438</v>
      </c>
      <c r="H13" s="91">
        <f>134+8/60+16/3600</f>
        <v>134.13777777777776</v>
      </c>
      <c r="I13" s="91">
        <f>6+54/60+46/3600</f>
        <v>6.9127777777777784</v>
      </c>
      <c r="J13" s="91">
        <f>134+9/60+5/3600</f>
        <v>134.1513888888889</v>
      </c>
      <c r="K13" s="72" t="s">
        <v>1174</v>
      </c>
      <c r="L13" s="72" t="s">
        <v>311</v>
      </c>
      <c r="M13" s="73">
        <v>2100</v>
      </c>
      <c r="N13" s="73">
        <v>35</v>
      </c>
      <c r="O13" s="73" t="s">
        <v>92</v>
      </c>
      <c r="P13" s="73" t="s">
        <v>311</v>
      </c>
      <c r="Q13" s="81">
        <v>2</v>
      </c>
      <c r="R13" s="81">
        <v>1</v>
      </c>
      <c r="S13" s="81" t="s">
        <v>311</v>
      </c>
      <c r="T13" s="81">
        <v>1</v>
      </c>
      <c r="U13" s="101">
        <f t="shared" si="0"/>
        <v>24</v>
      </c>
      <c r="V13" s="411">
        <f>M13*N13*V$2</f>
        <v>4410000</v>
      </c>
      <c r="W13" s="411">
        <f>W$2*N13*M13</f>
        <v>3675000</v>
      </c>
      <c r="X13" s="411"/>
      <c r="Y13" s="411">
        <f t="shared" si="3"/>
        <v>55100</v>
      </c>
      <c r="Z13" s="411"/>
      <c r="AC13" s="87">
        <f t="shared" si="4"/>
        <v>2</v>
      </c>
      <c r="AD13" s="87">
        <f t="shared" si="5"/>
        <v>1</v>
      </c>
      <c r="AE13" s="87">
        <f t="shared" si="6"/>
        <v>0</v>
      </c>
      <c r="AF13" s="87">
        <f t="shared" si="7"/>
        <v>1</v>
      </c>
      <c r="AG13" s="87">
        <f t="shared" si="8"/>
        <v>12</v>
      </c>
      <c r="AH13" s="87"/>
      <c r="AI13" s="87">
        <f t="shared" si="9"/>
        <v>5</v>
      </c>
      <c r="AJ13" s="87">
        <f t="shared" si="10"/>
        <v>5</v>
      </c>
      <c r="AK13" s="87">
        <f t="shared" si="11"/>
        <v>0</v>
      </c>
      <c r="AL13" s="87">
        <f t="shared" si="12"/>
        <v>5</v>
      </c>
      <c r="AM13" s="87">
        <f t="shared" si="13"/>
        <v>50</v>
      </c>
    </row>
    <row r="14" spans="2:39" ht="25" customHeight="1" x14ac:dyDescent="0.35">
      <c r="B14" s="96"/>
      <c r="C14" s="97"/>
      <c r="D14" s="97"/>
      <c r="E14" s="97"/>
      <c r="F14" s="97"/>
      <c r="G14" s="97"/>
      <c r="H14" s="97"/>
      <c r="I14" s="97"/>
      <c r="J14" s="97"/>
      <c r="K14" s="98"/>
      <c r="L14" s="98"/>
      <c r="M14" s="99"/>
      <c r="N14" s="99"/>
      <c r="O14" s="99"/>
      <c r="P14" s="99"/>
      <c r="Q14" s="100"/>
      <c r="R14" s="100"/>
      <c r="S14" s="100"/>
      <c r="T14" s="100"/>
      <c r="AC14" s="87">
        <f t="shared" si="4"/>
        <v>0</v>
      </c>
      <c r="AD14" s="87">
        <f t="shared" si="5"/>
        <v>0</v>
      </c>
      <c r="AE14" s="87">
        <f t="shared" si="6"/>
        <v>0</v>
      </c>
      <c r="AF14" s="87">
        <f t="shared" si="7"/>
        <v>0</v>
      </c>
      <c r="AG14" s="87">
        <f t="shared" si="8"/>
        <v>0</v>
      </c>
      <c r="AH14" s="87"/>
      <c r="AI14" s="87">
        <f t="shared" si="9"/>
        <v>0</v>
      </c>
      <c r="AJ14" s="87">
        <f t="shared" si="10"/>
        <v>0</v>
      </c>
      <c r="AK14" s="87">
        <f t="shared" si="11"/>
        <v>0</v>
      </c>
      <c r="AL14" s="87">
        <f t="shared" si="12"/>
        <v>0</v>
      </c>
      <c r="AM14" s="87">
        <f t="shared" si="13"/>
        <v>0</v>
      </c>
    </row>
    <row r="15" spans="2:39" ht="25" customHeight="1" x14ac:dyDescent="0.35">
      <c r="B15" s="17"/>
      <c r="C15" s="18"/>
      <c r="D15" s="18"/>
      <c r="E15" s="18"/>
      <c r="F15" s="18"/>
      <c r="G15" s="18"/>
      <c r="H15" s="18"/>
      <c r="I15" s="18"/>
      <c r="J15" s="18"/>
      <c r="K15" s="19"/>
      <c r="L15" s="19"/>
      <c r="M15" s="22"/>
      <c r="N15" s="22"/>
      <c r="O15" s="22"/>
      <c r="P15" s="22"/>
      <c r="Q15" s="24"/>
      <c r="R15" s="24"/>
      <c r="S15" s="24"/>
      <c r="T15" s="24"/>
      <c r="W15" t="s">
        <v>1621</v>
      </c>
      <c r="Y15" s="409">
        <f>SUM(Y6:Y13)</f>
        <v>488300</v>
      </c>
      <c r="AC15" s="87">
        <f t="shared" si="4"/>
        <v>0</v>
      </c>
      <c r="AD15" s="87">
        <f t="shared" si="5"/>
        <v>0</v>
      </c>
      <c r="AE15" s="87">
        <f t="shared" si="6"/>
        <v>0</v>
      </c>
      <c r="AF15" s="87">
        <f t="shared" si="7"/>
        <v>0</v>
      </c>
      <c r="AG15" s="87">
        <f t="shared" si="8"/>
        <v>0</v>
      </c>
      <c r="AH15" s="87"/>
      <c r="AI15" s="87">
        <f t="shared" si="9"/>
        <v>0</v>
      </c>
      <c r="AJ15" s="87">
        <f t="shared" si="10"/>
        <v>0</v>
      </c>
      <c r="AK15" s="87">
        <f t="shared" si="11"/>
        <v>0</v>
      </c>
      <c r="AL15" s="87">
        <f t="shared" si="12"/>
        <v>0</v>
      </c>
      <c r="AM15" s="87">
        <f t="shared" si="13"/>
        <v>0</v>
      </c>
    </row>
    <row r="16" spans="2:39" ht="25" customHeight="1" x14ac:dyDescent="0.35">
      <c r="B16" s="17"/>
      <c r="C16" s="18"/>
      <c r="D16" s="18"/>
      <c r="E16" s="18"/>
      <c r="F16" s="18"/>
      <c r="G16" s="18"/>
      <c r="H16" s="18"/>
      <c r="I16" s="18"/>
      <c r="J16" s="18"/>
      <c r="K16" s="19"/>
      <c r="L16" s="19"/>
      <c r="M16" s="22"/>
      <c r="N16" s="22"/>
      <c r="O16" s="22"/>
      <c r="P16" s="22"/>
      <c r="Q16" s="24"/>
      <c r="R16" s="24"/>
      <c r="S16" s="24"/>
      <c r="T16" s="24"/>
      <c r="AC16" s="87">
        <f t="shared" si="4"/>
        <v>0</v>
      </c>
      <c r="AD16" s="87">
        <f t="shared" si="5"/>
        <v>0</v>
      </c>
      <c r="AE16" s="87">
        <f t="shared" si="6"/>
        <v>0</v>
      </c>
      <c r="AF16" s="87">
        <f t="shared" si="7"/>
        <v>0</v>
      </c>
      <c r="AG16" s="87">
        <f t="shared" si="8"/>
        <v>0</v>
      </c>
      <c r="AH16" s="87"/>
      <c r="AI16" s="87">
        <f t="shared" si="9"/>
        <v>0</v>
      </c>
      <c r="AJ16" s="87">
        <f t="shared" si="10"/>
        <v>0</v>
      </c>
      <c r="AK16" s="87">
        <f t="shared" si="11"/>
        <v>0</v>
      </c>
      <c r="AL16" s="87">
        <f t="shared" si="12"/>
        <v>0</v>
      </c>
      <c r="AM16" s="87">
        <f t="shared" si="13"/>
        <v>0</v>
      </c>
    </row>
    <row r="17" spans="2:39" ht="25" customHeight="1" x14ac:dyDescent="0.35">
      <c r="B17" s="17"/>
      <c r="C17" s="18"/>
      <c r="D17" s="18"/>
      <c r="E17" s="18"/>
      <c r="F17" s="18"/>
      <c r="G17" s="18"/>
      <c r="H17" s="18"/>
      <c r="I17" s="18"/>
      <c r="J17" s="18"/>
      <c r="K17" s="19"/>
      <c r="L17" s="19"/>
      <c r="M17" s="22"/>
      <c r="N17" s="22"/>
      <c r="O17" s="22"/>
      <c r="P17" s="22"/>
      <c r="Q17" s="24"/>
      <c r="R17" s="24"/>
      <c r="S17" s="24"/>
      <c r="T17" s="24"/>
      <c r="AC17" s="87">
        <f t="shared" si="4"/>
        <v>0</v>
      </c>
      <c r="AD17" s="87">
        <f t="shared" si="5"/>
        <v>0</v>
      </c>
      <c r="AE17" s="87">
        <f t="shared" si="6"/>
        <v>0</v>
      </c>
      <c r="AF17" s="87">
        <f t="shared" si="7"/>
        <v>0</v>
      </c>
      <c r="AG17" s="87">
        <f t="shared" si="8"/>
        <v>0</v>
      </c>
      <c r="AH17" s="87"/>
      <c r="AI17" s="87">
        <f t="shared" si="9"/>
        <v>0</v>
      </c>
      <c r="AJ17" s="87">
        <f t="shared" si="10"/>
        <v>0</v>
      </c>
      <c r="AK17" s="87">
        <f t="shared" si="11"/>
        <v>0</v>
      </c>
      <c r="AL17" s="87">
        <f t="shared" si="12"/>
        <v>0</v>
      </c>
      <c r="AM17" s="87">
        <f t="shared" si="13"/>
        <v>0</v>
      </c>
    </row>
    <row r="18" spans="2:39" ht="25" customHeight="1" x14ac:dyDescent="0.35">
      <c r="B18" s="17"/>
      <c r="C18" s="18"/>
      <c r="D18" s="18"/>
      <c r="E18" s="18"/>
      <c r="F18" s="18"/>
      <c r="G18" s="18"/>
      <c r="H18" s="18"/>
      <c r="I18" s="18"/>
      <c r="J18" s="18"/>
      <c r="K18" s="19"/>
      <c r="L18" s="19"/>
      <c r="M18" s="22"/>
      <c r="N18" s="22"/>
      <c r="O18" s="22"/>
      <c r="P18" s="22"/>
      <c r="Q18" s="24"/>
      <c r="R18" s="24"/>
      <c r="S18" s="24"/>
      <c r="T18" s="24"/>
      <c r="AC18" s="87">
        <f t="shared" si="4"/>
        <v>0</v>
      </c>
      <c r="AD18" s="87">
        <f t="shared" si="5"/>
        <v>0</v>
      </c>
      <c r="AE18" s="87">
        <f t="shared" si="6"/>
        <v>0</v>
      </c>
      <c r="AF18" s="87">
        <f t="shared" si="7"/>
        <v>0</v>
      </c>
      <c r="AG18" s="87">
        <f t="shared" si="8"/>
        <v>0</v>
      </c>
      <c r="AH18" s="87"/>
      <c r="AI18" s="87">
        <f t="shared" si="9"/>
        <v>0</v>
      </c>
      <c r="AJ18" s="87">
        <f t="shared" si="10"/>
        <v>0</v>
      </c>
      <c r="AK18" s="87">
        <f t="shared" si="11"/>
        <v>0</v>
      </c>
      <c r="AL18" s="87">
        <f t="shared" si="12"/>
        <v>0</v>
      </c>
      <c r="AM18" s="87">
        <f t="shared" si="13"/>
        <v>0</v>
      </c>
    </row>
    <row r="19" spans="2:39" ht="25" customHeight="1" x14ac:dyDescent="0.35">
      <c r="B19" s="17"/>
      <c r="C19" s="18"/>
      <c r="D19" s="18"/>
      <c r="E19" s="18"/>
      <c r="F19" s="18"/>
      <c r="G19" s="18"/>
      <c r="H19" s="18"/>
      <c r="I19" s="18"/>
      <c r="J19" s="18"/>
      <c r="K19" s="19"/>
      <c r="L19" s="19"/>
      <c r="M19" s="22"/>
      <c r="N19" s="22"/>
      <c r="O19" s="22"/>
      <c r="P19" s="22"/>
      <c r="Q19" s="24"/>
      <c r="R19" s="24"/>
      <c r="S19" s="24"/>
      <c r="T19" s="24"/>
      <c r="AC19" s="87">
        <f t="shared" si="4"/>
        <v>0</v>
      </c>
      <c r="AD19" s="87">
        <f t="shared" si="5"/>
        <v>0</v>
      </c>
      <c r="AE19" s="87">
        <f t="shared" si="6"/>
        <v>0</v>
      </c>
      <c r="AF19" s="87">
        <f t="shared" si="7"/>
        <v>0</v>
      </c>
      <c r="AG19" s="87">
        <f t="shared" si="8"/>
        <v>0</v>
      </c>
      <c r="AH19" s="87"/>
      <c r="AI19" s="87">
        <f t="shared" si="9"/>
        <v>0</v>
      </c>
      <c r="AJ19" s="87">
        <f t="shared" si="10"/>
        <v>0</v>
      </c>
      <c r="AK19" s="87">
        <f t="shared" si="11"/>
        <v>0</v>
      </c>
      <c r="AL19" s="87">
        <f t="shared" si="12"/>
        <v>0</v>
      </c>
      <c r="AM19" s="87">
        <f t="shared" si="13"/>
        <v>0</v>
      </c>
    </row>
    <row r="20" spans="2:39" ht="25" customHeight="1" x14ac:dyDescent="0.35">
      <c r="B20" s="17"/>
      <c r="C20" s="18"/>
      <c r="D20" s="18"/>
      <c r="E20" s="18"/>
      <c r="F20" s="18"/>
      <c r="G20" s="18"/>
      <c r="H20" s="18"/>
      <c r="I20" s="18"/>
      <c r="J20" s="18"/>
      <c r="K20" s="19"/>
      <c r="L20" s="19"/>
      <c r="M20" s="22"/>
      <c r="N20" s="22"/>
      <c r="O20" s="22"/>
      <c r="P20" s="22"/>
      <c r="Q20" s="24"/>
      <c r="R20" s="24"/>
      <c r="S20" s="24"/>
      <c r="T20" s="24"/>
      <c r="AC20" s="87">
        <f t="shared" si="4"/>
        <v>0</v>
      </c>
      <c r="AD20" s="87">
        <f t="shared" si="5"/>
        <v>0</v>
      </c>
      <c r="AE20" s="87">
        <f t="shared" si="6"/>
        <v>0</v>
      </c>
      <c r="AF20" s="87">
        <f t="shared" si="7"/>
        <v>0</v>
      </c>
      <c r="AG20" s="87">
        <f t="shared" si="8"/>
        <v>0</v>
      </c>
      <c r="AH20" s="87"/>
      <c r="AI20" s="87">
        <f t="shared" si="9"/>
        <v>0</v>
      </c>
      <c r="AJ20" s="87">
        <f t="shared" si="10"/>
        <v>0</v>
      </c>
      <c r="AK20" s="87">
        <f t="shared" si="11"/>
        <v>0</v>
      </c>
      <c r="AL20" s="87">
        <f t="shared" si="12"/>
        <v>0</v>
      </c>
      <c r="AM20" s="87">
        <f t="shared" si="13"/>
        <v>0</v>
      </c>
    </row>
    <row r="21" spans="2:39" ht="25" customHeight="1" x14ac:dyDescent="0.35">
      <c r="B21" s="17"/>
      <c r="C21" s="18"/>
      <c r="D21" s="18"/>
      <c r="E21" s="18"/>
      <c r="F21" s="18"/>
      <c r="G21" s="18"/>
      <c r="H21" s="18"/>
      <c r="I21" s="18"/>
      <c r="J21" s="18"/>
      <c r="K21" s="19"/>
      <c r="L21" s="19"/>
      <c r="M21" s="22"/>
      <c r="N21" s="22"/>
      <c r="O21" s="22"/>
      <c r="P21" s="22"/>
      <c r="Q21" s="24"/>
      <c r="R21" s="24"/>
      <c r="S21" s="24"/>
      <c r="T21" s="24"/>
      <c r="AC21" s="87">
        <f t="shared" si="4"/>
        <v>0</v>
      </c>
      <c r="AD21" s="87">
        <f t="shared" si="5"/>
        <v>0</v>
      </c>
      <c r="AE21" s="87">
        <f t="shared" si="6"/>
        <v>0</v>
      </c>
      <c r="AF21" s="87">
        <f t="shared" si="7"/>
        <v>0</v>
      </c>
      <c r="AG21" s="87">
        <f t="shared" si="8"/>
        <v>0</v>
      </c>
      <c r="AH21" s="87"/>
      <c r="AI21" s="87">
        <f t="shared" si="9"/>
        <v>0</v>
      </c>
      <c r="AJ21" s="87">
        <f t="shared" si="10"/>
        <v>0</v>
      </c>
      <c r="AK21" s="87">
        <f t="shared" si="11"/>
        <v>0</v>
      </c>
      <c r="AL21" s="87">
        <f t="shared" si="12"/>
        <v>0</v>
      </c>
      <c r="AM21" s="87">
        <f t="shared" si="13"/>
        <v>0</v>
      </c>
    </row>
    <row r="22" spans="2:39" ht="25" customHeight="1" x14ac:dyDescent="0.35">
      <c r="B22" s="17"/>
      <c r="C22" s="18"/>
      <c r="D22" s="18"/>
      <c r="E22" s="18"/>
      <c r="F22" s="18"/>
      <c r="G22" s="18"/>
      <c r="H22" s="18"/>
      <c r="I22" s="18"/>
      <c r="J22" s="18"/>
      <c r="K22" s="19"/>
      <c r="L22" s="19"/>
      <c r="M22" s="22"/>
      <c r="N22" s="22"/>
      <c r="O22" s="22"/>
      <c r="P22" s="22"/>
      <c r="Q22" s="24"/>
      <c r="R22" s="24"/>
      <c r="S22" s="24"/>
      <c r="T22" s="24"/>
      <c r="AC22" s="87">
        <f t="shared" si="4"/>
        <v>0</v>
      </c>
      <c r="AD22" s="87">
        <f t="shared" si="5"/>
        <v>0</v>
      </c>
      <c r="AE22" s="87">
        <f t="shared" si="6"/>
        <v>0</v>
      </c>
      <c r="AF22" s="87">
        <f t="shared" si="7"/>
        <v>0</v>
      </c>
      <c r="AG22" s="87">
        <f t="shared" si="8"/>
        <v>0</v>
      </c>
      <c r="AH22" s="87"/>
      <c r="AI22" s="87">
        <f t="shared" si="9"/>
        <v>0</v>
      </c>
      <c r="AJ22" s="87">
        <f t="shared" si="10"/>
        <v>0</v>
      </c>
      <c r="AK22" s="87">
        <f t="shared" si="11"/>
        <v>0</v>
      </c>
      <c r="AL22" s="87">
        <f t="shared" si="12"/>
        <v>0</v>
      </c>
      <c r="AM22" s="87">
        <f t="shared" si="13"/>
        <v>0</v>
      </c>
    </row>
    <row r="23" spans="2:39" ht="25" customHeight="1" x14ac:dyDescent="0.35">
      <c r="B23" s="17"/>
      <c r="C23" s="18"/>
      <c r="D23" s="18"/>
      <c r="E23" s="18"/>
      <c r="F23" s="18"/>
      <c r="G23" s="18"/>
      <c r="H23" s="18"/>
      <c r="I23" s="18"/>
      <c r="J23" s="18"/>
      <c r="K23" s="19"/>
      <c r="L23" s="19"/>
      <c r="M23" s="22"/>
      <c r="N23" s="22"/>
      <c r="O23" s="22"/>
      <c r="P23" s="22"/>
      <c r="Q23" s="24"/>
      <c r="R23" s="24"/>
      <c r="S23" s="24"/>
      <c r="T23" s="24"/>
      <c r="AC23" s="87">
        <f t="shared" si="4"/>
        <v>0</v>
      </c>
      <c r="AD23" s="87">
        <f t="shared" si="5"/>
        <v>0</v>
      </c>
      <c r="AE23" s="87">
        <f t="shared" si="6"/>
        <v>0</v>
      </c>
      <c r="AF23" s="87">
        <f t="shared" si="7"/>
        <v>0</v>
      </c>
      <c r="AG23" s="87">
        <f t="shared" si="8"/>
        <v>0</v>
      </c>
      <c r="AH23" s="87"/>
      <c r="AI23" s="87">
        <f t="shared" si="9"/>
        <v>0</v>
      </c>
      <c r="AJ23" s="87">
        <f t="shared" si="10"/>
        <v>0</v>
      </c>
      <c r="AK23" s="87">
        <f t="shared" si="11"/>
        <v>0</v>
      </c>
      <c r="AL23" s="87">
        <f t="shared" si="12"/>
        <v>0</v>
      </c>
      <c r="AM23" s="87">
        <f t="shared" si="13"/>
        <v>0</v>
      </c>
    </row>
    <row r="24" spans="2:39" ht="25" customHeight="1" x14ac:dyDescent="0.35">
      <c r="B24" s="17"/>
      <c r="C24" s="18"/>
      <c r="D24" s="18"/>
      <c r="E24" s="18"/>
      <c r="F24" s="18"/>
      <c r="G24" s="18"/>
      <c r="H24" s="18"/>
      <c r="I24" s="18"/>
      <c r="J24" s="18"/>
      <c r="K24" s="19"/>
      <c r="L24" s="19"/>
      <c r="M24" s="22"/>
      <c r="N24" s="22"/>
      <c r="O24" s="22"/>
      <c r="P24" s="22"/>
      <c r="Q24" s="24"/>
      <c r="R24" s="24"/>
      <c r="S24" s="24"/>
      <c r="T24" s="24"/>
      <c r="AC24" s="87">
        <f t="shared" si="4"/>
        <v>0</v>
      </c>
      <c r="AD24" s="87">
        <f t="shared" si="5"/>
        <v>0</v>
      </c>
      <c r="AE24" s="87">
        <f t="shared" si="6"/>
        <v>0</v>
      </c>
      <c r="AF24" s="87">
        <f t="shared" si="7"/>
        <v>0</v>
      </c>
      <c r="AG24" s="87">
        <f t="shared" si="8"/>
        <v>0</v>
      </c>
      <c r="AH24" s="87"/>
      <c r="AI24" s="87">
        <f t="shared" si="9"/>
        <v>0</v>
      </c>
      <c r="AJ24" s="87">
        <f t="shared" si="10"/>
        <v>0</v>
      </c>
      <c r="AK24" s="87">
        <f t="shared" si="11"/>
        <v>0</v>
      </c>
      <c r="AL24" s="87">
        <f t="shared" si="12"/>
        <v>0</v>
      </c>
      <c r="AM24" s="87">
        <f t="shared" si="13"/>
        <v>0</v>
      </c>
    </row>
    <row r="25" spans="2:39" ht="25" customHeight="1" x14ac:dyDescent="0.35">
      <c r="B25" s="17"/>
      <c r="C25" s="18"/>
      <c r="D25" s="18"/>
      <c r="E25" s="18"/>
      <c r="F25" s="18"/>
      <c r="G25" s="18"/>
      <c r="H25" s="18"/>
      <c r="I25" s="18"/>
      <c r="J25" s="18"/>
      <c r="K25" s="19"/>
      <c r="L25" s="19"/>
      <c r="M25" s="22"/>
      <c r="N25" s="22"/>
      <c r="O25" s="22"/>
      <c r="P25" s="22"/>
      <c r="Q25" s="24"/>
      <c r="R25" s="24"/>
      <c r="S25" s="24"/>
      <c r="T25" s="24"/>
      <c r="AC25" s="87">
        <f t="shared" si="4"/>
        <v>0</v>
      </c>
      <c r="AD25" s="87">
        <f t="shared" si="5"/>
        <v>0</v>
      </c>
      <c r="AE25" s="87">
        <f t="shared" si="6"/>
        <v>0</v>
      </c>
      <c r="AF25" s="87">
        <f t="shared" si="7"/>
        <v>0</v>
      </c>
      <c r="AG25" s="87">
        <f t="shared" si="8"/>
        <v>0</v>
      </c>
      <c r="AH25" s="87"/>
      <c r="AI25" s="87">
        <f t="shared" si="9"/>
        <v>0</v>
      </c>
      <c r="AJ25" s="87">
        <f t="shared" si="10"/>
        <v>0</v>
      </c>
      <c r="AK25" s="87">
        <f t="shared" si="11"/>
        <v>0</v>
      </c>
      <c r="AL25" s="87">
        <f t="shared" si="12"/>
        <v>0</v>
      </c>
      <c r="AM25" s="87">
        <f t="shared" si="13"/>
        <v>0</v>
      </c>
    </row>
  </sheetData>
  <mergeCells count="7">
    <mergeCell ref="G4:H4"/>
    <mergeCell ref="I4:J4"/>
    <mergeCell ref="V3:X3"/>
    <mergeCell ref="B3:E3"/>
    <mergeCell ref="K3:L3"/>
    <mergeCell ref="M3:P3"/>
    <mergeCell ref="Q3:S3"/>
  </mergeCells>
  <conditionalFormatting sqref="Q6:T13">
    <cfRule type="cellIs" dxfId="29" priority="2" operator="equal">
      <formula>1</formula>
    </cfRule>
    <cfRule type="cellIs" dxfId="28" priority="3" operator="equal">
      <formula>2</formula>
    </cfRule>
  </conditionalFormatting>
  <conditionalFormatting sqref="U6:U13">
    <cfRule type="cellIs" dxfId="27" priority="1" operator="between">
      <formula>21</formula>
      <formula>40</formula>
    </cfRule>
  </conditionalFormatting>
  <pageMargins left="0.7" right="0.7" top="0.75" bottom="0.75" header="0.3" footer="0.3"/>
  <pageSetup orientation="landscape" r:id="rId1"/>
  <headerFooter>
    <oddFooter>&amp;L&amp;1#&amp;"Calibri"&amp;9&amp;K000000INTERNAL. This information is accessible to ADB Management and staff. It may be shared outside ADB with appropriate permission.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'Validation Lists'!$D$58:$D$79</xm:f>
          </x14:formula1>
          <xm:sqref>F5:F201</xm:sqref>
        </x14:dataValidation>
        <x14:dataValidation type="list" allowBlank="1" showInputMessage="1" showErrorMessage="1" xr:uid="{00000000-0002-0000-0200-000001000000}">
          <x14:formula1>
            <xm:f>'Validation Lists'!$B$3:$B$16</xm:f>
          </x14:formula1>
          <xm:sqref>D202</xm:sqref>
        </x14:dataValidation>
        <x14:dataValidation type="list" allowBlank="1" showInputMessage="1" showErrorMessage="1" xr:uid="{00000000-0002-0000-0200-000002000000}">
          <x14:formula1>
            <xm:f>'Validation Lists'!$B$18:$B$79</xm:f>
          </x14:formula1>
          <xm:sqref>E5:E202</xm:sqref>
        </x14:dataValidation>
        <x14:dataValidation type="list" allowBlank="1" showInputMessage="1" showErrorMessage="1" xr:uid="{00000000-0002-0000-0200-000003000000}">
          <x14:formula1>
            <xm:f>'Asset Condition Ratings'!$C$11:$C$16</xm:f>
          </x14:formula1>
          <xm:sqref>K202:M202</xm:sqref>
        </x14:dataValidation>
        <x14:dataValidation type="list" allowBlank="1" showInputMessage="1" showErrorMessage="1" xr:uid="{00000000-0002-0000-0200-000004000000}">
          <x14:formula1>
            <xm:f>'Asset Condition Ratings'!$C$2:$C$7</xm:f>
          </x14:formula1>
          <xm:sqref>N202</xm:sqref>
        </x14:dataValidation>
        <x14:dataValidation type="list" allowBlank="1" showInputMessage="1" showErrorMessage="1" xr:uid="{00000000-0002-0000-0200-000005000000}">
          <x14:formula1>
            <xm:f>'Validation Lists'!$B$158:$B$159</xm:f>
          </x14:formula1>
          <xm:sqref>D5:D201</xm:sqref>
        </x14:dataValidation>
        <x14:dataValidation type="list" allowBlank="1" showInputMessage="1" showErrorMessage="1" xr:uid="{00000000-0002-0000-0200-000006000000}">
          <x14:formula1>
            <xm:f>'Asset Condition Ratings'!$C$6:$C$10</xm:f>
          </x14:formula1>
          <xm:sqref>K5:N201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220"/>
  <sheetViews>
    <sheetView topLeftCell="A2" zoomScale="120" zoomScaleNormal="120" workbookViewId="0">
      <pane xSplit="3" ySplit="3" topLeftCell="E5" activePane="bottomRight" state="frozen"/>
      <selection activeCell="A2" sqref="A2"/>
      <selection pane="topRight" activeCell="D2" sqref="D2"/>
      <selection pane="bottomLeft" activeCell="A5" sqref="A5"/>
      <selection pane="bottomRight" activeCell="C6" sqref="C6"/>
    </sheetView>
  </sheetViews>
  <sheetFormatPr defaultColWidth="8.81640625" defaultRowHeight="14.5" x14ac:dyDescent="0.35"/>
  <cols>
    <col min="1" max="1" width="2.6328125" customWidth="1"/>
    <col min="2" max="2" width="8.81640625" style="107"/>
    <col min="3" max="3" width="17.1796875" style="87" customWidth="1"/>
    <col min="4" max="4" width="32.6328125" style="87" hidden="1" customWidth="1"/>
    <col min="5" max="5" width="13.1796875" style="95" customWidth="1"/>
    <col min="6" max="6" width="16.1796875" style="87" customWidth="1"/>
    <col min="7" max="7" width="19" style="87" customWidth="1"/>
    <col min="8" max="8" width="12.453125" style="87" customWidth="1"/>
    <col min="9" max="9" width="18.6328125" style="87" hidden="1" customWidth="1"/>
    <col min="10" max="10" width="54.1796875" style="87" hidden="1" customWidth="1"/>
    <col min="11" max="11" width="7.36328125" style="87" customWidth="1"/>
    <col min="12" max="12" width="8.1796875" style="87" customWidth="1"/>
    <col min="13" max="13" width="21.453125" style="87" hidden="1" customWidth="1"/>
    <col min="14" max="15" width="18.6328125" style="87" hidden="1" customWidth="1"/>
    <col min="16" max="16" width="11.36328125" style="87" customWidth="1"/>
    <col min="17" max="17" width="14.6328125" style="87" customWidth="1"/>
    <col min="18" max="19" width="9.6328125" style="87" customWidth="1"/>
    <col min="20" max="20" width="9.6328125" style="1" customWidth="1"/>
    <col min="21" max="21" width="13.453125" customWidth="1"/>
    <col min="22" max="22" width="13.1796875" customWidth="1"/>
    <col min="35" max="35" width="11.36328125" customWidth="1"/>
  </cols>
  <sheetData>
    <row r="2" spans="2:36" ht="29" customHeight="1" x14ac:dyDescent="0.35">
      <c r="B2" s="495"/>
      <c r="C2" s="496"/>
      <c r="D2" s="496"/>
      <c r="E2" s="497"/>
      <c r="F2" s="102"/>
      <c r="G2" s="102"/>
      <c r="H2" s="500"/>
      <c r="I2" s="501"/>
      <c r="J2" s="502"/>
      <c r="K2" s="498"/>
      <c r="L2" s="499"/>
      <c r="M2" s="499"/>
      <c r="N2" s="499"/>
      <c r="O2" s="499"/>
      <c r="P2" s="503" t="s">
        <v>108</v>
      </c>
      <c r="Q2" s="504"/>
      <c r="R2" s="504"/>
      <c r="S2" s="103"/>
      <c r="U2" s="409">
        <v>3750</v>
      </c>
      <c r="V2" s="412">
        <v>0.02</v>
      </c>
      <c r="Z2">
        <v>3</v>
      </c>
      <c r="AA2">
        <v>3</v>
      </c>
      <c r="AB2">
        <v>3</v>
      </c>
      <c r="AC2">
        <v>3</v>
      </c>
      <c r="AF2">
        <v>3</v>
      </c>
      <c r="AG2">
        <v>3</v>
      </c>
      <c r="AH2">
        <v>3</v>
      </c>
      <c r="AI2">
        <v>3</v>
      </c>
    </row>
    <row r="3" spans="2:36" ht="72.5" x14ac:dyDescent="0.35">
      <c r="B3" s="75" t="s">
        <v>20</v>
      </c>
      <c r="C3" s="84" t="s">
        <v>157</v>
      </c>
      <c r="D3" s="84" t="s">
        <v>120</v>
      </c>
      <c r="E3" s="84" t="s">
        <v>121</v>
      </c>
      <c r="F3" s="505" t="s">
        <v>317</v>
      </c>
      <c r="G3" s="506"/>
      <c r="H3" s="77" t="s">
        <v>11</v>
      </c>
      <c r="I3" s="77" t="s">
        <v>122</v>
      </c>
      <c r="J3" s="77" t="s">
        <v>211</v>
      </c>
      <c r="K3" s="78" t="s">
        <v>116</v>
      </c>
      <c r="L3" s="78" t="s">
        <v>123</v>
      </c>
      <c r="M3" s="78" t="s">
        <v>124</v>
      </c>
      <c r="N3" s="78" t="s">
        <v>125</v>
      </c>
      <c r="O3" s="78" t="s">
        <v>126</v>
      </c>
      <c r="P3" s="79" t="s">
        <v>127</v>
      </c>
      <c r="Q3" s="79" t="s">
        <v>128</v>
      </c>
      <c r="R3" s="79" t="s">
        <v>129</v>
      </c>
      <c r="S3" s="77" t="s">
        <v>156</v>
      </c>
      <c r="T3" s="76" t="s">
        <v>1969</v>
      </c>
      <c r="U3" s="408" t="s">
        <v>2690</v>
      </c>
      <c r="V3" s="408" t="s">
        <v>2694</v>
      </c>
      <c r="Z3" s="94" t="s">
        <v>103</v>
      </c>
      <c r="AA3" s="94" t="s">
        <v>104</v>
      </c>
      <c r="AB3" s="94" t="s">
        <v>119</v>
      </c>
      <c r="AC3" s="94" t="s">
        <v>156</v>
      </c>
      <c r="AD3" s="83" t="s">
        <v>1977</v>
      </c>
      <c r="AF3" s="94" t="s">
        <v>103</v>
      </c>
      <c r="AG3" s="94" t="s">
        <v>104</v>
      </c>
      <c r="AH3" s="94" t="s">
        <v>119</v>
      </c>
      <c r="AI3" s="94" t="s">
        <v>156</v>
      </c>
      <c r="AJ3" s="83" t="s">
        <v>1978</v>
      </c>
    </row>
    <row r="4" spans="2:36" x14ac:dyDescent="0.35">
      <c r="B4" s="70"/>
      <c r="C4" s="88"/>
      <c r="D4" s="71"/>
      <c r="E4" s="88"/>
      <c r="F4" s="71" t="s">
        <v>302</v>
      </c>
      <c r="G4" s="71" t="s">
        <v>303</v>
      </c>
      <c r="H4" s="63"/>
      <c r="I4" s="72"/>
      <c r="J4" s="72"/>
      <c r="K4" s="73"/>
      <c r="L4" s="73"/>
      <c r="M4" s="73"/>
      <c r="N4" s="73"/>
      <c r="O4" s="73"/>
      <c r="P4" s="104"/>
      <c r="Q4" s="104"/>
      <c r="R4" s="104"/>
      <c r="S4" s="72"/>
      <c r="T4" s="69"/>
    </row>
    <row r="5" spans="2:36" x14ac:dyDescent="0.35">
      <c r="B5" s="70"/>
      <c r="C5" s="88"/>
      <c r="D5" s="71"/>
      <c r="E5" s="88"/>
      <c r="F5" s="71"/>
      <c r="G5" s="71"/>
      <c r="H5" s="63"/>
      <c r="I5" s="72"/>
      <c r="J5" s="72"/>
      <c r="K5" s="73"/>
      <c r="L5" s="73"/>
      <c r="M5" s="73"/>
      <c r="N5" s="73"/>
      <c r="O5" s="73"/>
      <c r="P5" s="104"/>
      <c r="Q5" s="104"/>
      <c r="R5" s="104"/>
      <c r="S5" s="72"/>
      <c r="T5" s="101" t="e">
        <f>ROUND(AD5/AJ5*100,0)</f>
        <v>#DIV/0!</v>
      </c>
      <c r="U5" s="83"/>
      <c r="V5" s="83"/>
      <c r="W5" s="83"/>
      <c r="X5" s="83"/>
      <c r="Y5" s="83"/>
      <c r="Z5" s="87">
        <f>IF(OR(P5=1,P5=2,P5=3,P5=4,P5=5),P5,0)</f>
        <v>0</v>
      </c>
      <c r="AA5" s="87">
        <f t="shared" ref="AA5:AC12" si="0">IF(OR(Q5=1,Q5=2,Q5=3,Q5=4,Q5=5),Q5,0)</f>
        <v>0</v>
      </c>
      <c r="AB5" s="87">
        <f t="shared" si="0"/>
        <v>0</v>
      </c>
      <c r="AC5" s="87">
        <f t="shared" si="0"/>
        <v>0</v>
      </c>
      <c r="AD5" s="87">
        <f>Z$2*Z5+AA$2*AA5+AB$2*AB5+AC$2*AC5</f>
        <v>0</v>
      </c>
      <c r="AE5" s="87"/>
      <c r="AF5" s="87">
        <f>IF(OR(P5=1,P5=2,P5=3,P5=4,P5=5),5,0)</f>
        <v>0</v>
      </c>
      <c r="AG5" s="87">
        <f t="shared" ref="AG5:AI12" si="1">IF(OR(Q5=1,Q5=2,Q5=3,Q5=4,Q5=5),5,0)</f>
        <v>0</v>
      </c>
      <c r="AH5" s="87">
        <f t="shared" si="1"/>
        <v>0</v>
      </c>
      <c r="AI5" s="87">
        <f t="shared" si="1"/>
        <v>0</v>
      </c>
      <c r="AJ5" s="87">
        <f>AF$2*AF5+AG$2*AG5+AH$2*AH5+AI$2*AI5</f>
        <v>0</v>
      </c>
    </row>
    <row r="6" spans="2:36" s="59" customFormat="1" ht="30" customHeight="1" x14ac:dyDescent="0.35">
      <c r="B6" s="70" t="s">
        <v>432</v>
      </c>
      <c r="C6" s="71" t="s">
        <v>433</v>
      </c>
      <c r="D6" s="71" t="s">
        <v>426</v>
      </c>
      <c r="E6" s="88" t="s">
        <v>424</v>
      </c>
      <c r="F6" s="82">
        <f>7+43.0687/60</f>
        <v>7.717811666666667</v>
      </c>
      <c r="G6" s="82">
        <f>134+36.93604/60</f>
        <v>134.61560066666667</v>
      </c>
      <c r="H6" s="63" t="s">
        <v>421</v>
      </c>
      <c r="I6" s="63" t="s">
        <v>311</v>
      </c>
      <c r="J6" s="63" t="s">
        <v>371</v>
      </c>
      <c r="K6" s="64">
        <v>13.8</v>
      </c>
      <c r="L6" s="64">
        <v>9</v>
      </c>
      <c r="M6" s="64" t="s">
        <v>298</v>
      </c>
      <c r="N6" s="64" t="s">
        <v>298</v>
      </c>
      <c r="O6" s="64" t="s">
        <v>164</v>
      </c>
      <c r="P6" s="80">
        <v>3</v>
      </c>
      <c r="Q6" s="80">
        <v>4</v>
      </c>
      <c r="R6" s="80">
        <v>3</v>
      </c>
      <c r="S6" s="80">
        <v>4</v>
      </c>
      <c r="T6" s="101">
        <f t="shared" ref="T6:T29" si="2">ROUND(AD6/AJ6*100,0)</f>
        <v>70</v>
      </c>
      <c r="U6" s="411">
        <f>U$2*L6*K6</f>
        <v>465750</v>
      </c>
      <c r="V6" s="411">
        <f>ROUND(V$2*U6,-2)</f>
        <v>9300</v>
      </c>
      <c r="W6" s="83"/>
      <c r="X6" s="83"/>
      <c r="Y6" s="83"/>
      <c r="Z6" s="87">
        <f t="shared" ref="Z6:Z12" si="3">IF(OR(P6=1,P6=2,P6=3,P6=4,P6=5),P6,0)</f>
        <v>3</v>
      </c>
      <c r="AA6" s="87">
        <f t="shared" si="0"/>
        <v>4</v>
      </c>
      <c r="AB6" s="87">
        <f t="shared" si="0"/>
        <v>3</v>
      </c>
      <c r="AC6" s="87">
        <f t="shared" si="0"/>
        <v>4</v>
      </c>
      <c r="AD6" s="87">
        <f t="shared" ref="AD6:AD12" si="4">Z$2*Z6+AA$2*AA6+AB$2*AB6+AC$2*AC6</f>
        <v>42</v>
      </c>
      <c r="AE6" s="87"/>
      <c r="AF6" s="87">
        <f t="shared" ref="AF6:AF12" si="5">IF(OR(P6=1,P6=2,P6=3,P6=4,P6=5),5,0)</f>
        <v>5</v>
      </c>
      <c r="AG6" s="87">
        <f t="shared" si="1"/>
        <v>5</v>
      </c>
      <c r="AH6" s="87">
        <f t="shared" si="1"/>
        <v>5</v>
      </c>
      <c r="AI6" s="87">
        <f t="shared" si="1"/>
        <v>5</v>
      </c>
      <c r="AJ6" s="87">
        <f t="shared" ref="AJ6:AJ12" si="6">AF$2*AF6+AG$2*AG6+AH$2*AH6+AI$2*AI6</f>
        <v>60</v>
      </c>
    </row>
    <row r="7" spans="2:36" s="59" customFormat="1" ht="30" customHeight="1" x14ac:dyDescent="0.35">
      <c r="B7" s="70" t="s">
        <v>417</v>
      </c>
      <c r="C7" s="71" t="s">
        <v>1241</v>
      </c>
      <c r="D7" s="71" t="s">
        <v>762</v>
      </c>
      <c r="E7" s="88" t="s">
        <v>418</v>
      </c>
      <c r="F7" s="82">
        <f>7+38.540035/60</f>
        <v>7.6423339166666668</v>
      </c>
      <c r="G7" s="82">
        <f>134+37.92389/60</f>
        <v>134.63206483333335</v>
      </c>
      <c r="H7" s="63">
        <v>2001</v>
      </c>
      <c r="I7" s="63" t="s">
        <v>311</v>
      </c>
      <c r="J7" s="63" t="s">
        <v>371</v>
      </c>
      <c r="K7" s="64">
        <v>79</v>
      </c>
      <c r="L7" s="64">
        <v>9.1</v>
      </c>
      <c r="M7" s="64" t="s">
        <v>298</v>
      </c>
      <c r="N7" s="64" t="s">
        <v>298</v>
      </c>
      <c r="O7" s="64" t="s">
        <v>164</v>
      </c>
      <c r="P7" s="80">
        <v>5</v>
      </c>
      <c r="Q7" s="80">
        <v>5</v>
      </c>
      <c r="R7" s="80">
        <v>5</v>
      </c>
      <c r="S7" s="80">
        <v>5</v>
      </c>
      <c r="T7" s="101">
        <f t="shared" si="2"/>
        <v>100</v>
      </c>
      <c r="U7" s="411">
        <f t="shared" ref="U7:U29" si="7">U$2*L7*K7</f>
        <v>2695875</v>
      </c>
      <c r="V7" s="411">
        <f>ROUND(V$2*U7,-2)</f>
        <v>53900</v>
      </c>
      <c r="W7" s="83"/>
      <c r="X7" s="83"/>
      <c r="Y7" s="83"/>
      <c r="Z7" s="87">
        <f t="shared" si="3"/>
        <v>5</v>
      </c>
      <c r="AA7" s="87">
        <f t="shared" si="0"/>
        <v>5</v>
      </c>
      <c r="AB7" s="87">
        <f t="shared" si="0"/>
        <v>5</v>
      </c>
      <c r="AC7" s="87">
        <f t="shared" si="0"/>
        <v>5</v>
      </c>
      <c r="AD7" s="87">
        <f t="shared" si="4"/>
        <v>60</v>
      </c>
      <c r="AE7" s="87"/>
      <c r="AF7" s="87">
        <f t="shared" si="5"/>
        <v>5</v>
      </c>
      <c r="AG7" s="87">
        <f t="shared" si="1"/>
        <v>5</v>
      </c>
      <c r="AH7" s="87">
        <f t="shared" si="1"/>
        <v>5</v>
      </c>
      <c r="AI7" s="87">
        <f t="shared" si="1"/>
        <v>5</v>
      </c>
      <c r="AJ7" s="87">
        <f t="shared" si="6"/>
        <v>60</v>
      </c>
    </row>
    <row r="8" spans="2:36" s="59" customFormat="1" ht="30" customHeight="1" x14ac:dyDescent="0.35">
      <c r="B8" s="70" t="s">
        <v>1221</v>
      </c>
      <c r="C8" s="71" t="s">
        <v>1222</v>
      </c>
      <c r="D8" s="71" t="s">
        <v>500</v>
      </c>
      <c r="E8" s="88" t="s">
        <v>1223</v>
      </c>
      <c r="F8" s="82">
        <f>7+37/60+41/3600</f>
        <v>7.628055555555556</v>
      </c>
      <c r="G8" s="82">
        <f>134+38/60+36/3600</f>
        <v>134.64333333333332</v>
      </c>
      <c r="H8" s="63" t="s">
        <v>502</v>
      </c>
      <c r="I8" s="63" t="s">
        <v>311</v>
      </c>
      <c r="J8" s="63" t="s">
        <v>371</v>
      </c>
      <c r="K8" s="64">
        <v>2.5</v>
      </c>
      <c r="L8" s="64">
        <v>4.5</v>
      </c>
      <c r="M8" s="64" t="s">
        <v>298</v>
      </c>
      <c r="N8" s="64" t="s">
        <v>298</v>
      </c>
      <c r="O8" s="64" t="s">
        <v>164</v>
      </c>
      <c r="P8" s="80">
        <v>3</v>
      </c>
      <c r="Q8" s="80">
        <v>3</v>
      </c>
      <c r="R8" s="80">
        <v>2</v>
      </c>
      <c r="S8" s="80">
        <v>2</v>
      </c>
      <c r="T8" s="101">
        <f t="shared" si="2"/>
        <v>50</v>
      </c>
      <c r="U8" s="411">
        <f t="shared" si="7"/>
        <v>42187.5</v>
      </c>
      <c r="V8" s="411">
        <f t="shared" ref="V8:V29" si="8">ROUND(V$2*U8,-2)</f>
        <v>800</v>
      </c>
      <c r="W8" s="83"/>
      <c r="X8" s="83"/>
      <c r="Y8" s="83"/>
      <c r="Z8" s="87">
        <f t="shared" si="3"/>
        <v>3</v>
      </c>
      <c r="AA8" s="87">
        <f t="shared" si="0"/>
        <v>3</v>
      </c>
      <c r="AB8" s="87">
        <f t="shared" si="0"/>
        <v>2</v>
      </c>
      <c r="AC8" s="87">
        <f t="shared" si="0"/>
        <v>2</v>
      </c>
      <c r="AD8" s="87">
        <f t="shared" si="4"/>
        <v>30</v>
      </c>
      <c r="AE8" s="87"/>
      <c r="AF8" s="87">
        <f t="shared" si="5"/>
        <v>5</v>
      </c>
      <c r="AG8" s="87">
        <f t="shared" si="1"/>
        <v>5</v>
      </c>
      <c r="AH8" s="87">
        <f t="shared" si="1"/>
        <v>5</v>
      </c>
      <c r="AI8" s="87">
        <f t="shared" si="1"/>
        <v>5</v>
      </c>
      <c r="AJ8" s="87">
        <f t="shared" si="6"/>
        <v>60</v>
      </c>
    </row>
    <row r="9" spans="2:36" s="59" customFormat="1" ht="30" customHeight="1" x14ac:dyDescent="0.35">
      <c r="B9" s="70" t="s">
        <v>1224</v>
      </c>
      <c r="C9" s="71" t="s">
        <v>1225</v>
      </c>
      <c r="D9" s="71" t="s">
        <v>500</v>
      </c>
      <c r="E9" s="88" t="s">
        <v>1223</v>
      </c>
      <c r="F9" s="82">
        <f>7+37/60+32/3600</f>
        <v>7.6255555555555556</v>
      </c>
      <c r="G9" s="82">
        <f>134+38/60+31/3600</f>
        <v>134.64194444444445</v>
      </c>
      <c r="H9" s="63" t="s">
        <v>502</v>
      </c>
      <c r="I9" s="63">
        <v>2019</v>
      </c>
      <c r="J9" s="63" t="s">
        <v>1249</v>
      </c>
      <c r="K9" s="64">
        <v>3</v>
      </c>
      <c r="L9" s="64">
        <v>7.3</v>
      </c>
      <c r="M9" s="64" t="s">
        <v>298</v>
      </c>
      <c r="N9" s="64" t="s">
        <v>298</v>
      </c>
      <c r="O9" s="64" t="s">
        <v>164</v>
      </c>
      <c r="P9" s="80">
        <v>4</v>
      </c>
      <c r="Q9" s="80">
        <v>5</v>
      </c>
      <c r="R9" s="80">
        <v>5</v>
      </c>
      <c r="S9" s="80">
        <v>5</v>
      </c>
      <c r="T9" s="101">
        <f t="shared" si="2"/>
        <v>95</v>
      </c>
      <c r="U9" s="411">
        <f t="shared" si="7"/>
        <v>82125</v>
      </c>
      <c r="V9" s="411">
        <f t="shared" si="8"/>
        <v>1600</v>
      </c>
      <c r="W9" s="83"/>
      <c r="X9" s="83"/>
      <c r="Y9" s="83"/>
      <c r="Z9" s="87">
        <f t="shared" si="3"/>
        <v>4</v>
      </c>
      <c r="AA9" s="87">
        <f t="shared" si="0"/>
        <v>5</v>
      </c>
      <c r="AB9" s="87">
        <f t="shared" si="0"/>
        <v>5</v>
      </c>
      <c r="AC9" s="87">
        <f t="shared" si="0"/>
        <v>5</v>
      </c>
      <c r="AD9" s="87">
        <f t="shared" si="4"/>
        <v>57</v>
      </c>
      <c r="AE9" s="87"/>
      <c r="AF9" s="87">
        <f t="shared" si="5"/>
        <v>5</v>
      </c>
      <c r="AG9" s="87">
        <f t="shared" si="1"/>
        <v>5</v>
      </c>
      <c r="AH9" s="87">
        <f t="shared" si="1"/>
        <v>5</v>
      </c>
      <c r="AI9" s="87">
        <f t="shared" si="1"/>
        <v>5</v>
      </c>
      <c r="AJ9" s="87">
        <f t="shared" si="6"/>
        <v>60</v>
      </c>
    </row>
    <row r="10" spans="2:36" s="59" customFormat="1" ht="30" customHeight="1" x14ac:dyDescent="0.35">
      <c r="B10" s="70" t="s">
        <v>1226</v>
      </c>
      <c r="C10" s="71" t="s">
        <v>1227</v>
      </c>
      <c r="D10" s="71" t="s">
        <v>513</v>
      </c>
      <c r="E10" s="88" t="s">
        <v>481</v>
      </c>
      <c r="F10" s="105">
        <f>7+36/60+25/3600</f>
        <v>7.6069444444444443</v>
      </c>
      <c r="G10" s="105">
        <f>134+37/60+59/3600</f>
        <v>134.63305555555556</v>
      </c>
      <c r="H10" s="63" t="s">
        <v>502</v>
      </c>
      <c r="I10" s="63" t="s">
        <v>311</v>
      </c>
      <c r="J10" s="63" t="s">
        <v>371</v>
      </c>
      <c r="K10" s="64">
        <v>7</v>
      </c>
      <c r="L10" s="64">
        <v>4.5</v>
      </c>
      <c r="M10" s="64" t="s">
        <v>298</v>
      </c>
      <c r="N10" s="64" t="s">
        <v>159</v>
      </c>
      <c r="O10" s="64" t="s">
        <v>159</v>
      </c>
      <c r="P10" s="80"/>
      <c r="Q10" s="80"/>
      <c r="R10" s="80"/>
      <c r="S10" s="80"/>
      <c r="T10" s="101"/>
      <c r="U10" s="411">
        <f t="shared" si="7"/>
        <v>118125</v>
      </c>
      <c r="V10" s="411">
        <f t="shared" si="8"/>
        <v>2400</v>
      </c>
      <c r="W10" s="83"/>
      <c r="X10" s="83"/>
      <c r="Y10" s="83"/>
      <c r="Z10" s="87">
        <f t="shared" si="3"/>
        <v>0</v>
      </c>
      <c r="AA10" s="87">
        <f t="shared" si="0"/>
        <v>0</v>
      </c>
      <c r="AB10" s="87">
        <f t="shared" si="0"/>
        <v>0</v>
      </c>
      <c r="AC10" s="87">
        <f t="shared" si="0"/>
        <v>0</v>
      </c>
      <c r="AD10" s="87">
        <f t="shared" si="4"/>
        <v>0</v>
      </c>
      <c r="AE10" s="87"/>
      <c r="AF10" s="87">
        <f t="shared" si="5"/>
        <v>0</v>
      </c>
      <c r="AG10" s="87">
        <f t="shared" si="1"/>
        <v>0</v>
      </c>
      <c r="AH10" s="87">
        <f t="shared" si="1"/>
        <v>0</v>
      </c>
      <c r="AI10" s="87">
        <f t="shared" si="1"/>
        <v>0</v>
      </c>
      <c r="AJ10" s="87">
        <f t="shared" si="6"/>
        <v>0</v>
      </c>
    </row>
    <row r="11" spans="2:36" s="59" customFormat="1" ht="30" customHeight="1" x14ac:dyDescent="0.35">
      <c r="B11" s="70" t="s">
        <v>1233</v>
      </c>
      <c r="C11" s="71" t="s">
        <v>1242</v>
      </c>
      <c r="D11" s="71" t="s">
        <v>770</v>
      </c>
      <c r="E11" s="88" t="s">
        <v>517</v>
      </c>
      <c r="F11" s="105">
        <f>7+32/60+11.1/3600</f>
        <v>7.5364166666666668</v>
      </c>
      <c r="G11" s="105">
        <f>134+37/60+25.8/3600</f>
        <v>134.62383333333335</v>
      </c>
      <c r="H11" s="63">
        <v>2001</v>
      </c>
      <c r="I11" s="63" t="s">
        <v>311</v>
      </c>
      <c r="J11" s="63" t="s">
        <v>371</v>
      </c>
      <c r="K11" s="64">
        <v>35</v>
      </c>
      <c r="L11" s="64">
        <v>10</v>
      </c>
      <c r="M11" s="64" t="s">
        <v>298</v>
      </c>
      <c r="N11" s="64" t="s">
        <v>298</v>
      </c>
      <c r="O11" s="64" t="s">
        <v>164</v>
      </c>
      <c r="P11" s="80">
        <v>5</v>
      </c>
      <c r="Q11" s="80">
        <v>4</v>
      </c>
      <c r="R11" s="80">
        <v>4</v>
      </c>
      <c r="S11" s="80">
        <v>4</v>
      </c>
      <c r="T11" s="101">
        <f t="shared" si="2"/>
        <v>85</v>
      </c>
      <c r="U11" s="411">
        <f t="shared" si="7"/>
        <v>1312500</v>
      </c>
      <c r="V11" s="411">
        <f t="shared" si="8"/>
        <v>26300</v>
      </c>
      <c r="W11" s="83"/>
      <c r="X11" s="83"/>
      <c r="Y11" s="83"/>
      <c r="Z11" s="87">
        <f t="shared" si="3"/>
        <v>5</v>
      </c>
      <c r="AA11" s="87">
        <f t="shared" si="0"/>
        <v>4</v>
      </c>
      <c r="AB11" s="87">
        <f t="shared" si="0"/>
        <v>4</v>
      </c>
      <c r="AC11" s="87">
        <f t="shared" si="0"/>
        <v>4</v>
      </c>
      <c r="AD11" s="87">
        <f t="shared" si="4"/>
        <v>51</v>
      </c>
      <c r="AE11" s="87"/>
      <c r="AF11" s="87">
        <f t="shared" si="5"/>
        <v>5</v>
      </c>
      <c r="AG11" s="87">
        <f t="shared" si="1"/>
        <v>5</v>
      </c>
      <c r="AH11" s="87">
        <f t="shared" si="1"/>
        <v>5</v>
      </c>
      <c r="AI11" s="87">
        <f t="shared" si="1"/>
        <v>5</v>
      </c>
      <c r="AJ11" s="87">
        <f t="shared" si="6"/>
        <v>60</v>
      </c>
    </row>
    <row r="12" spans="2:36" s="59" customFormat="1" ht="30" customHeight="1" x14ac:dyDescent="0.35">
      <c r="B12" s="70" t="s">
        <v>1219</v>
      </c>
      <c r="C12" s="71" t="s">
        <v>1232</v>
      </c>
      <c r="D12" s="71" t="s">
        <v>1220</v>
      </c>
      <c r="E12" s="88" t="s">
        <v>791</v>
      </c>
      <c r="F12" s="82">
        <f>7+36/60+25/3600</f>
        <v>7.6069444444444443</v>
      </c>
      <c r="G12" s="82">
        <f>134+34/60+32/3600</f>
        <v>134.57555555555555</v>
      </c>
      <c r="H12" s="63">
        <v>2014</v>
      </c>
      <c r="I12" s="63" t="s">
        <v>311</v>
      </c>
      <c r="J12" s="63" t="s">
        <v>371</v>
      </c>
      <c r="K12" s="64">
        <v>12.5</v>
      </c>
      <c r="L12" s="64">
        <v>8.1</v>
      </c>
      <c r="M12" s="64" t="s">
        <v>298</v>
      </c>
      <c r="N12" s="64" t="s">
        <v>298</v>
      </c>
      <c r="O12" s="64" t="s">
        <v>164</v>
      </c>
      <c r="P12" s="80">
        <v>4</v>
      </c>
      <c r="Q12" s="80">
        <v>5</v>
      </c>
      <c r="R12" s="80">
        <v>5</v>
      </c>
      <c r="S12" s="80">
        <v>5</v>
      </c>
      <c r="T12" s="101">
        <f t="shared" si="2"/>
        <v>95</v>
      </c>
      <c r="U12" s="411">
        <f t="shared" si="7"/>
        <v>379687.5</v>
      </c>
      <c r="V12" s="411">
        <f t="shared" si="8"/>
        <v>7600</v>
      </c>
      <c r="W12" s="83"/>
      <c r="X12" s="83"/>
      <c r="Y12" s="83"/>
      <c r="Z12" s="87">
        <f t="shared" si="3"/>
        <v>4</v>
      </c>
      <c r="AA12" s="87">
        <f t="shared" si="0"/>
        <v>5</v>
      </c>
      <c r="AB12" s="87">
        <f t="shared" si="0"/>
        <v>5</v>
      </c>
      <c r="AC12" s="87">
        <f t="shared" si="0"/>
        <v>5</v>
      </c>
      <c r="AD12" s="87">
        <f t="shared" si="4"/>
        <v>57</v>
      </c>
      <c r="AE12" s="87"/>
      <c r="AF12" s="87">
        <f t="shared" si="5"/>
        <v>5</v>
      </c>
      <c r="AG12" s="87">
        <f t="shared" si="1"/>
        <v>5</v>
      </c>
      <c r="AH12" s="87">
        <f t="shared" si="1"/>
        <v>5</v>
      </c>
      <c r="AI12" s="87">
        <f t="shared" si="1"/>
        <v>5</v>
      </c>
      <c r="AJ12" s="87">
        <f t="shared" si="6"/>
        <v>60</v>
      </c>
    </row>
    <row r="13" spans="2:36" s="59" customFormat="1" ht="30" customHeight="1" x14ac:dyDescent="0.35">
      <c r="B13" s="70" t="s">
        <v>373</v>
      </c>
      <c r="C13" s="71" t="s">
        <v>305</v>
      </c>
      <c r="D13" s="71" t="s">
        <v>286</v>
      </c>
      <c r="E13" s="88" t="s">
        <v>273</v>
      </c>
      <c r="F13" s="82">
        <f>7+31/60+15/3600</f>
        <v>7.520833333333333</v>
      </c>
      <c r="G13" s="82">
        <f>134+30/60+21/3600</f>
        <v>134.50583333333333</v>
      </c>
      <c r="H13" s="63">
        <v>1989</v>
      </c>
      <c r="I13" s="63" t="s">
        <v>311</v>
      </c>
      <c r="J13" s="63" t="s">
        <v>371</v>
      </c>
      <c r="K13" s="64"/>
      <c r="L13" s="64"/>
      <c r="M13" s="64" t="s">
        <v>298</v>
      </c>
      <c r="N13" s="64" t="s">
        <v>298</v>
      </c>
      <c r="O13" s="64" t="s">
        <v>164</v>
      </c>
      <c r="P13" s="80"/>
      <c r="Q13" s="80"/>
      <c r="R13" s="80"/>
      <c r="S13" s="80"/>
      <c r="T13" s="101"/>
      <c r="U13" s="411">
        <f t="shared" si="7"/>
        <v>0</v>
      </c>
      <c r="V13" s="411">
        <f t="shared" si="8"/>
        <v>0</v>
      </c>
      <c r="Z13" s="87">
        <f t="shared" ref="Z13:Z30" si="9">IF(OR(P13=1,P13=2,P13=3,P13=4,P13=5),P13,0)</f>
        <v>0</v>
      </c>
      <c r="AA13" s="87">
        <f t="shared" ref="AA13:AA30" si="10">IF(OR(Q13=1,Q13=2,Q13=3,Q13=4,Q13=5),Q13,0)</f>
        <v>0</v>
      </c>
      <c r="AB13" s="87">
        <f t="shared" ref="AB13:AB30" si="11">IF(OR(R13=1,R13=2,R13=3,R13=4,R13=5),R13,0)</f>
        <v>0</v>
      </c>
      <c r="AC13" s="87">
        <f t="shared" ref="AC13:AC30" si="12">IF(OR(S13=1,S13=2,S13=3,S13=4,S13=5),S13,0)</f>
        <v>0</v>
      </c>
      <c r="AD13" s="87">
        <f t="shared" ref="AD13:AD30" si="13">Z$2*Z13+AA$2*AA13+AB$2*AB13+AC$2*AC13</f>
        <v>0</v>
      </c>
      <c r="AE13" s="87"/>
      <c r="AF13" s="87">
        <f t="shared" ref="AF13:AF30" si="14">IF(OR(P13=1,P13=2,P13=3,P13=4,P13=5),5,0)</f>
        <v>0</v>
      </c>
      <c r="AG13" s="87">
        <f t="shared" ref="AG13:AG30" si="15">IF(OR(Q13=1,Q13=2,Q13=3,Q13=4,Q13=5),5,0)</f>
        <v>0</v>
      </c>
      <c r="AH13" s="87">
        <f t="shared" ref="AH13:AH30" si="16">IF(OR(R13=1,R13=2,R13=3,R13=4,R13=5),5,0)</f>
        <v>0</v>
      </c>
      <c r="AI13" s="87">
        <f t="shared" ref="AI13:AI30" si="17">IF(OR(S13=1,S13=2,S13=3,S13=4,S13=5),5,0)</f>
        <v>0</v>
      </c>
      <c r="AJ13" s="87">
        <f t="shared" ref="AJ13:AJ30" si="18">AF$2*AF13+AG$2*AG13+AH$2*AH13+AI$2*AI13</f>
        <v>0</v>
      </c>
    </row>
    <row r="14" spans="2:36" s="59" customFormat="1" ht="30" customHeight="1" x14ac:dyDescent="0.35">
      <c r="B14" s="70" t="s">
        <v>374</v>
      </c>
      <c r="C14" s="71" t="s">
        <v>295</v>
      </c>
      <c r="D14" s="71" t="s">
        <v>279</v>
      </c>
      <c r="E14" s="88" t="s">
        <v>281</v>
      </c>
      <c r="F14" s="82">
        <f>7+31.682463/60</f>
        <v>7.5280410499999997</v>
      </c>
      <c r="G14" s="82">
        <f>134+31.425733/60</f>
        <v>134.52376221666665</v>
      </c>
      <c r="H14" s="63">
        <v>1989</v>
      </c>
      <c r="I14" s="63">
        <v>2016</v>
      </c>
      <c r="J14" s="63" t="s">
        <v>296</v>
      </c>
      <c r="K14" s="64">
        <f>150*0.3048</f>
        <v>45.72</v>
      </c>
      <c r="L14" s="64">
        <v>10</v>
      </c>
      <c r="M14" s="64" t="s">
        <v>297</v>
      </c>
      <c r="N14" s="64" t="s">
        <v>298</v>
      </c>
      <c r="O14" s="64" t="s">
        <v>299</v>
      </c>
      <c r="P14" s="80">
        <v>4</v>
      </c>
      <c r="Q14" s="80">
        <v>5</v>
      </c>
      <c r="R14" s="80">
        <v>5</v>
      </c>
      <c r="S14" s="80">
        <v>5</v>
      </c>
      <c r="T14" s="101">
        <f t="shared" si="2"/>
        <v>95</v>
      </c>
      <c r="U14" s="411">
        <f t="shared" si="7"/>
        <v>1714500</v>
      </c>
      <c r="V14" s="411">
        <f t="shared" si="8"/>
        <v>34300</v>
      </c>
      <c r="Z14" s="87">
        <f t="shared" si="9"/>
        <v>4</v>
      </c>
      <c r="AA14" s="87">
        <f t="shared" si="10"/>
        <v>5</v>
      </c>
      <c r="AB14" s="87">
        <f t="shared" si="11"/>
        <v>5</v>
      </c>
      <c r="AC14" s="87">
        <f t="shared" si="12"/>
        <v>5</v>
      </c>
      <c r="AD14" s="87">
        <f t="shared" si="13"/>
        <v>57</v>
      </c>
      <c r="AE14" s="87"/>
      <c r="AF14" s="87">
        <f t="shared" si="14"/>
        <v>5</v>
      </c>
      <c r="AG14" s="87">
        <f t="shared" si="15"/>
        <v>5</v>
      </c>
      <c r="AH14" s="87">
        <f t="shared" si="16"/>
        <v>5</v>
      </c>
      <c r="AI14" s="87">
        <f t="shared" si="17"/>
        <v>5</v>
      </c>
      <c r="AJ14" s="87">
        <f t="shared" si="18"/>
        <v>60</v>
      </c>
    </row>
    <row r="15" spans="2:36" s="59" customFormat="1" ht="30" customHeight="1" x14ac:dyDescent="0.35">
      <c r="B15" s="70" t="s">
        <v>375</v>
      </c>
      <c r="C15" s="71" t="s">
        <v>300</v>
      </c>
      <c r="D15" s="71" t="s">
        <v>276</v>
      </c>
      <c r="E15" s="88" t="s">
        <v>281</v>
      </c>
      <c r="F15" s="82">
        <f>7+31.51599/60</f>
        <v>7.5252664999999999</v>
      </c>
      <c r="G15" s="82">
        <f>134+32.918111/60</f>
        <v>134.54863518333335</v>
      </c>
      <c r="H15" s="63">
        <v>1989</v>
      </c>
      <c r="I15" s="63">
        <v>2015</v>
      </c>
      <c r="J15" s="63" t="s">
        <v>296</v>
      </c>
      <c r="K15" s="64">
        <f>25*0.3048</f>
        <v>7.62</v>
      </c>
      <c r="L15" s="64">
        <v>5.8</v>
      </c>
      <c r="M15" s="64" t="s">
        <v>297</v>
      </c>
      <c r="N15" s="64" t="s">
        <v>298</v>
      </c>
      <c r="O15" s="64" t="s">
        <v>299</v>
      </c>
      <c r="P15" s="80">
        <v>4</v>
      </c>
      <c r="Q15" s="80">
        <v>4</v>
      </c>
      <c r="R15" s="80">
        <v>5</v>
      </c>
      <c r="S15" s="80">
        <v>5</v>
      </c>
      <c r="T15" s="101">
        <f t="shared" si="2"/>
        <v>90</v>
      </c>
      <c r="U15" s="411">
        <f t="shared" si="7"/>
        <v>165735</v>
      </c>
      <c r="V15" s="411">
        <f t="shared" si="8"/>
        <v>3300</v>
      </c>
      <c r="Z15" s="87">
        <f t="shared" si="9"/>
        <v>4</v>
      </c>
      <c r="AA15" s="87">
        <f t="shared" si="10"/>
        <v>4</v>
      </c>
      <c r="AB15" s="87">
        <f t="shared" si="11"/>
        <v>5</v>
      </c>
      <c r="AC15" s="87">
        <f t="shared" si="12"/>
        <v>5</v>
      </c>
      <c r="AD15" s="87">
        <f t="shared" si="13"/>
        <v>54</v>
      </c>
      <c r="AE15" s="87"/>
      <c r="AF15" s="87">
        <f t="shared" si="14"/>
        <v>5</v>
      </c>
      <c r="AG15" s="87">
        <f t="shared" si="15"/>
        <v>5</v>
      </c>
      <c r="AH15" s="87">
        <f t="shared" si="16"/>
        <v>5</v>
      </c>
      <c r="AI15" s="87">
        <f t="shared" si="17"/>
        <v>5</v>
      </c>
      <c r="AJ15" s="87">
        <f t="shared" si="18"/>
        <v>60</v>
      </c>
    </row>
    <row r="16" spans="2:36" s="59" customFormat="1" ht="30" customHeight="1" x14ac:dyDescent="0.35">
      <c r="B16" s="70" t="s">
        <v>1231</v>
      </c>
      <c r="C16" s="71" t="s">
        <v>1243</v>
      </c>
      <c r="D16" s="71" t="s">
        <v>768</v>
      </c>
      <c r="E16" s="88" t="s">
        <v>290</v>
      </c>
      <c r="F16" s="105">
        <f>7+29/60+4/3600</f>
        <v>7.4844444444444447</v>
      </c>
      <c r="G16" s="105">
        <f>134+31/60+44/3600</f>
        <v>134.5288888888889</v>
      </c>
      <c r="H16" s="63">
        <v>2001</v>
      </c>
      <c r="I16" s="63" t="s">
        <v>311</v>
      </c>
      <c r="J16" s="63" t="s">
        <v>371</v>
      </c>
      <c r="K16" s="64">
        <v>20</v>
      </c>
      <c r="L16" s="64">
        <v>11</v>
      </c>
      <c r="M16" s="64" t="s">
        <v>298</v>
      </c>
      <c r="N16" s="64" t="s">
        <v>298</v>
      </c>
      <c r="O16" s="64" t="s">
        <v>164</v>
      </c>
      <c r="P16" s="80">
        <v>4</v>
      </c>
      <c r="Q16" s="80">
        <v>4</v>
      </c>
      <c r="R16" s="80">
        <v>4</v>
      </c>
      <c r="S16" s="80">
        <v>4</v>
      </c>
      <c r="T16" s="101">
        <f t="shared" si="2"/>
        <v>80</v>
      </c>
      <c r="U16" s="411">
        <f t="shared" si="7"/>
        <v>825000</v>
      </c>
      <c r="V16" s="411">
        <f t="shared" si="8"/>
        <v>16500</v>
      </c>
      <c r="Z16" s="87">
        <f t="shared" si="9"/>
        <v>4</v>
      </c>
      <c r="AA16" s="87">
        <f t="shared" si="10"/>
        <v>4</v>
      </c>
      <c r="AB16" s="87">
        <f t="shared" si="11"/>
        <v>4</v>
      </c>
      <c r="AC16" s="87">
        <f t="shared" si="12"/>
        <v>4</v>
      </c>
      <c r="AD16" s="87">
        <f t="shared" si="13"/>
        <v>48</v>
      </c>
      <c r="AE16" s="87"/>
      <c r="AF16" s="87">
        <f t="shared" si="14"/>
        <v>5</v>
      </c>
      <c r="AG16" s="87">
        <f t="shared" si="15"/>
        <v>5</v>
      </c>
      <c r="AH16" s="87">
        <f t="shared" si="16"/>
        <v>5</v>
      </c>
      <c r="AI16" s="87">
        <f t="shared" si="17"/>
        <v>5</v>
      </c>
      <c r="AJ16" s="87">
        <f t="shared" si="18"/>
        <v>60</v>
      </c>
    </row>
    <row r="17" spans="2:36" s="59" customFormat="1" ht="30" customHeight="1" x14ac:dyDescent="0.35">
      <c r="B17" s="70" t="s">
        <v>1239</v>
      </c>
      <c r="C17" s="71" t="s">
        <v>1240</v>
      </c>
      <c r="D17" s="71" t="s">
        <v>772</v>
      </c>
      <c r="E17" s="88" t="s">
        <v>576</v>
      </c>
      <c r="F17" s="105">
        <f>7+31/60+48.3/3600</f>
        <v>7.5300833333333337</v>
      </c>
      <c r="G17" s="105">
        <f>134+37/60+7.2/3600</f>
        <v>134.61866666666668</v>
      </c>
      <c r="H17" s="63">
        <v>2001</v>
      </c>
      <c r="I17" s="63" t="s">
        <v>311</v>
      </c>
      <c r="J17" s="63" t="s">
        <v>371</v>
      </c>
      <c r="K17" s="64">
        <v>54</v>
      </c>
      <c r="L17" s="64">
        <v>11</v>
      </c>
      <c r="M17" s="64" t="s">
        <v>298</v>
      </c>
      <c r="N17" s="64" t="s">
        <v>298</v>
      </c>
      <c r="O17" s="64" t="s">
        <v>164</v>
      </c>
      <c r="P17" s="80">
        <v>5</v>
      </c>
      <c r="Q17" s="80">
        <v>5</v>
      </c>
      <c r="R17" s="80">
        <v>4</v>
      </c>
      <c r="S17" s="80">
        <v>4</v>
      </c>
      <c r="T17" s="101">
        <f t="shared" si="2"/>
        <v>90</v>
      </c>
      <c r="U17" s="411">
        <f t="shared" si="7"/>
        <v>2227500</v>
      </c>
      <c r="V17" s="411">
        <f t="shared" si="8"/>
        <v>44600</v>
      </c>
      <c r="Z17" s="87">
        <f t="shared" si="9"/>
        <v>5</v>
      </c>
      <c r="AA17" s="87">
        <f t="shared" si="10"/>
        <v>5</v>
      </c>
      <c r="AB17" s="87">
        <f t="shared" si="11"/>
        <v>4</v>
      </c>
      <c r="AC17" s="87">
        <f t="shared" si="12"/>
        <v>4</v>
      </c>
      <c r="AD17" s="87">
        <f t="shared" si="13"/>
        <v>54</v>
      </c>
      <c r="AE17" s="87"/>
      <c r="AF17" s="87">
        <f t="shared" si="14"/>
        <v>5</v>
      </c>
      <c r="AG17" s="87">
        <f t="shared" si="15"/>
        <v>5</v>
      </c>
      <c r="AH17" s="87">
        <f t="shared" si="16"/>
        <v>5</v>
      </c>
      <c r="AI17" s="87">
        <f t="shared" si="17"/>
        <v>5</v>
      </c>
      <c r="AJ17" s="87">
        <f t="shared" si="18"/>
        <v>60</v>
      </c>
    </row>
    <row r="18" spans="2:36" s="59" customFormat="1" ht="30" customHeight="1" x14ac:dyDescent="0.35">
      <c r="B18" s="70" t="s">
        <v>1228</v>
      </c>
      <c r="C18" s="71" t="s">
        <v>1236</v>
      </c>
      <c r="D18" s="71" t="s">
        <v>772</v>
      </c>
      <c r="E18" s="88" t="s">
        <v>602</v>
      </c>
      <c r="F18" s="105">
        <f>7+29/60+11.5/3600</f>
        <v>7.4865277777777779</v>
      </c>
      <c r="G18" s="105">
        <f>134+35/60+43.1/3600</f>
        <v>134.59530555555557</v>
      </c>
      <c r="H18" s="63">
        <v>2001</v>
      </c>
      <c r="I18" s="63" t="s">
        <v>311</v>
      </c>
      <c r="J18" s="63" t="s">
        <v>371</v>
      </c>
      <c r="K18" s="64">
        <v>20</v>
      </c>
      <c r="L18" s="64">
        <v>11</v>
      </c>
      <c r="M18" s="64" t="s">
        <v>298</v>
      </c>
      <c r="N18" s="64" t="s">
        <v>298</v>
      </c>
      <c r="O18" s="64" t="s">
        <v>164</v>
      </c>
      <c r="P18" s="80">
        <v>5</v>
      </c>
      <c r="Q18" s="80">
        <v>4</v>
      </c>
      <c r="R18" s="80">
        <v>4</v>
      </c>
      <c r="S18" s="80">
        <v>4</v>
      </c>
      <c r="T18" s="101">
        <f t="shared" si="2"/>
        <v>85</v>
      </c>
      <c r="U18" s="411">
        <f t="shared" si="7"/>
        <v>825000</v>
      </c>
      <c r="V18" s="411">
        <f t="shared" si="8"/>
        <v>16500</v>
      </c>
      <c r="Z18" s="87">
        <f t="shared" si="9"/>
        <v>5</v>
      </c>
      <c r="AA18" s="87">
        <f t="shared" si="10"/>
        <v>4</v>
      </c>
      <c r="AB18" s="87">
        <f t="shared" si="11"/>
        <v>4</v>
      </c>
      <c r="AC18" s="87">
        <f t="shared" si="12"/>
        <v>4</v>
      </c>
      <c r="AD18" s="87">
        <f t="shared" si="13"/>
        <v>51</v>
      </c>
      <c r="AE18" s="87"/>
      <c r="AF18" s="87">
        <f t="shared" si="14"/>
        <v>5</v>
      </c>
      <c r="AG18" s="87">
        <f t="shared" si="15"/>
        <v>5</v>
      </c>
      <c r="AH18" s="87">
        <f t="shared" si="16"/>
        <v>5</v>
      </c>
      <c r="AI18" s="87">
        <f t="shared" si="17"/>
        <v>5</v>
      </c>
      <c r="AJ18" s="87">
        <f t="shared" si="18"/>
        <v>60</v>
      </c>
    </row>
    <row r="19" spans="2:36" s="59" customFormat="1" ht="30" customHeight="1" x14ac:dyDescent="0.35">
      <c r="B19" s="70" t="s">
        <v>1230</v>
      </c>
      <c r="C19" s="71" t="s">
        <v>1235</v>
      </c>
      <c r="D19" s="71" t="s">
        <v>772</v>
      </c>
      <c r="E19" s="88" t="s">
        <v>602</v>
      </c>
      <c r="F19" s="105">
        <f>7+27/60+9.7/3600</f>
        <v>7.452694444444445</v>
      </c>
      <c r="G19" s="105">
        <f>134+34/60+43.9/3600</f>
        <v>134.57886111111111</v>
      </c>
      <c r="H19" s="63">
        <v>2001</v>
      </c>
      <c r="I19" s="63" t="s">
        <v>311</v>
      </c>
      <c r="J19" s="63" t="s">
        <v>371</v>
      </c>
      <c r="K19" s="64">
        <v>24.4</v>
      </c>
      <c r="L19" s="64">
        <v>11</v>
      </c>
      <c r="M19" s="64" t="s">
        <v>298</v>
      </c>
      <c r="N19" s="64" t="s">
        <v>298</v>
      </c>
      <c r="O19" s="64" t="s">
        <v>164</v>
      </c>
      <c r="P19" s="80">
        <v>4</v>
      </c>
      <c r="Q19" s="80">
        <v>4</v>
      </c>
      <c r="R19" s="80">
        <v>4</v>
      </c>
      <c r="S19" s="80">
        <v>4</v>
      </c>
      <c r="T19" s="101">
        <f t="shared" si="2"/>
        <v>80</v>
      </c>
      <c r="U19" s="411">
        <f t="shared" si="7"/>
        <v>1006499.9999999999</v>
      </c>
      <c r="V19" s="411">
        <f t="shared" si="8"/>
        <v>20100</v>
      </c>
      <c r="Z19" s="87">
        <f t="shared" si="9"/>
        <v>4</v>
      </c>
      <c r="AA19" s="87">
        <f t="shared" si="10"/>
        <v>4</v>
      </c>
      <c r="AB19" s="87">
        <f t="shared" si="11"/>
        <v>4</v>
      </c>
      <c r="AC19" s="87">
        <f t="shared" si="12"/>
        <v>4</v>
      </c>
      <c r="AD19" s="87">
        <f t="shared" si="13"/>
        <v>48</v>
      </c>
      <c r="AE19" s="87"/>
      <c r="AF19" s="87">
        <f t="shared" si="14"/>
        <v>5</v>
      </c>
      <c r="AG19" s="87">
        <f t="shared" si="15"/>
        <v>5</v>
      </c>
      <c r="AH19" s="87">
        <f t="shared" si="16"/>
        <v>5</v>
      </c>
      <c r="AI19" s="87">
        <f t="shared" si="17"/>
        <v>5</v>
      </c>
      <c r="AJ19" s="87">
        <f t="shared" si="18"/>
        <v>60</v>
      </c>
    </row>
    <row r="20" spans="2:36" s="59" customFormat="1" ht="30" customHeight="1" x14ac:dyDescent="0.35">
      <c r="B20" s="70" t="s">
        <v>1237</v>
      </c>
      <c r="C20" s="71" t="s">
        <v>1229</v>
      </c>
      <c r="D20" s="71" t="s">
        <v>638</v>
      </c>
      <c r="E20" s="88" t="s">
        <v>628</v>
      </c>
      <c r="F20" s="105">
        <f>7+27/60+54/3600</f>
        <v>7.4649999999999999</v>
      </c>
      <c r="G20" s="105">
        <f>134+35/60+21/3600</f>
        <v>134.58916666666667</v>
      </c>
      <c r="H20" s="63">
        <v>2014</v>
      </c>
      <c r="I20" s="63" t="s">
        <v>311</v>
      </c>
      <c r="J20" s="63" t="s">
        <v>371</v>
      </c>
      <c r="K20" s="64">
        <v>11.5</v>
      </c>
      <c r="L20" s="64">
        <v>7.3</v>
      </c>
      <c r="M20" s="64" t="s">
        <v>298</v>
      </c>
      <c r="N20" s="64" t="s">
        <v>159</v>
      </c>
      <c r="O20" s="64" t="s">
        <v>164</v>
      </c>
      <c r="P20" s="80">
        <v>4</v>
      </c>
      <c r="Q20" s="80">
        <v>4</v>
      </c>
      <c r="R20" s="80">
        <v>4</v>
      </c>
      <c r="S20" s="80">
        <v>4</v>
      </c>
      <c r="T20" s="101">
        <f t="shared" si="2"/>
        <v>80</v>
      </c>
      <c r="U20" s="411">
        <f t="shared" si="7"/>
        <v>314812.5</v>
      </c>
      <c r="V20" s="411">
        <f t="shared" si="8"/>
        <v>6300</v>
      </c>
      <c r="Z20" s="87">
        <f t="shared" si="9"/>
        <v>4</v>
      </c>
      <c r="AA20" s="87">
        <f t="shared" si="10"/>
        <v>4</v>
      </c>
      <c r="AB20" s="87">
        <f t="shared" si="11"/>
        <v>4</v>
      </c>
      <c r="AC20" s="87">
        <f t="shared" si="12"/>
        <v>4</v>
      </c>
      <c r="AD20" s="87">
        <f t="shared" si="13"/>
        <v>48</v>
      </c>
      <c r="AE20" s="87"/>
      <c r="AF20" s="87">
        <f t="shared" si="14"/>
        <v>5</v>
      </c>
      <c r="AG20" s="87">
        <f t="shared" si="15"/>
        <v>5</v>
      </c>
      <c r="AH20" s="87">
        <f t="shared" si="16"/>
        <v>5</v>
      </c>
      <c r="AI20" s="87">
        <f t="shared" si="17"/>
        <v>5</v>
      </c>
      <c r="AJ20" s="87">
        <f t="shared" si="18"/>
        <v>60</v>
      </c>
    </row>
    <row r="21" spans="2:36" s="59" customFormat="1" ht="30" customHeight="1" x14ac:dyDescent="0.35">
      <c r="B21" s="70" t="s">
        <v>1238</v>
      </c>
      <c r="C21" s="71" t="s">
        <v>1244</v>
      </c>
      <c r="D21" s="71" t="s">
        <v>604</v>
      </c>
      <c r="E21" s="88" t="s">
        <v>602</v>
      </c>
      <c r="F21" s="105">
        <f>7+29/60+23/3600</f>
        <v>7.4897222222222224</v>
      </c>
      <c r="G21" s="105">
        <f>134+36/60+22/3600</f>
        <v>134.60611111111112</v>
      </c>
      <c r="H21" s="63">
        <v>2001</v>
      </c>
      <c r="I21" s="63" t="s">
        <v>311</v>
      </c>
      <c r="J21" s="63" t="s">
        <v>371</v>
      </c>
      <c r="K21" s="64">
        <v>7.3</v>
      </c>
      <c r="L21" s="64">
        <v>4.3</v>
      </c>
      <c r="M21" s="64" t="s">
        <v>298</v>
      </c>
      <c r="N21" s="64" t="s">
        <v>159</v>
      </c>
      <c r="O21" s="64" t="s">
        <v>159</v>
      </c>
      <c r="P21" s="80">
        <v>2</v>
      </c>
      <c r="Q21" s="80">
        <v>2</v>
      </c>
      <c r="R21" s="80">
        <v>2</v>
      </c>
      <c r="S21" s="80">
        <v>2</v>
      </c>
      <c r="T21" s="101">
        <f t="shared" si="2"/>
        <v>40</v>
      </c>
      <c r="U21" s="411">
        <f t="shared" si="7"/>
        <v>117712.5</v>
      </c>
      <c r="V21" s="411">
        <f t="shared" si="8"/>
        <v>2400</v>
      </c>
      <c r="Z21" s="87">
        <f t="shared" si="9"/>
        <v>2</v>
      </c>
      <c r="AA21" s="87">
        <f t="shared" si="10"/>
        <v>2</v>
      </c>
      <c r="AB21" s="87">
        <f t="shared" si="11"/>
        <v>2</v>
      </c>
      <c r="AC21" s="87">
        <f t="shared" si="12"/>
        <v>2</v>
      </c>
      <c r="AD21" s="87">
        <f t="shared" si="13"/>
        <v>24</v>
      </c>
      <c r="AE21" s="87"/>
      <c r="AF21" s="87">
        <f t="shared" si="14"/>
        <v>5</v>
      </c>
      <c r="AG21" s="87">
        <f t="shared" si="15"/>
        <v>5</v>
      </c>
      <c r="AH21" s="87">
        <f t="shared" si="16"/>
        <v>5</v>
      </c>
      <c r="AI21" s="87">
        <f t="shared" si="17"/>
        <v>5</v>
      </c>
      <c r="AJ21" s="87">
        <f t="shared" si="18"/>
        <v>60</v>
      </c>
    </row>
    <row r="22" spans="2:36" s="59" customFormat="1" ht="30" customHeight="1" x14ac:dyDescent="0.35">
      <c r="B22" s="70" t="s">
        <v>419</v>
      </c>
      <c r="C22" s="71" t="s">
        <v>1217</v>
      </c>
      <c r="D22" s="71" t="s">
        <v>1218</v>
      </c>
      <c r="E22" s="88" t="s">
        <v>420</v>
      </c>
      <c r="F22" s="82">
        <f>7+27.29937/60</f>
        <v>7.4549894999999999</v>
      </c>
      <c r="G22" s="82">
        <f>134+31.11603/60</f>
        <v>134.51860049999999</v>
      </c>
      <c r="H22" s="63" t="s">
        <v>421</v>
      </c>
      <c r="I22" s="63" t="s">
        <v>311</v>
      </c>
      <c r="J22" s="63" t="s">
        <v>371</v>
      </c>
      <c r="K22" s="64">
        <v>14.6</v>
      </c>
      <c r="L22" s="64">
        <v>6.1</v>
      </c>
      <c r="M22" s="64" t="s">
        <v>298</v>
      </c>
      <c r="N22" s="64" t="s">
        <v>159</v>
      </c>
      <c r="O22" s="64" t="s">
        <v>164</v>
      </c>
      <c r="P22" s="80">
        <v>2</v>
      </c>
      <c r="Q22" s="80">
        <v>2</v>
      </c>
      <c r="R22" s="80">
        <v>3</v>
      </c>
      <c r="S22" s="80">
        <v>3</v>
      </c>
      <c r="T22" s="101">
        <f t="shared" si="2"/>
        <v>50</v>
      </c>
      <c r="U22" s="411">
        <f t="shared" si="7"/>
        <v>333975</v>
      </c>
      <c r="V22" s="411">
        <f t="shared" si="8"/>
        <v>6700</v>
      </c>
      <c r="Z22" s="87">
        <f t="shared" si="9"/>
        <v>2</v>
      </c>
      <c r="AA22" s="87">
        <f t="shared" si="10"/>
        <v>2</v>
      </c>
      <c r="AB22" s="87">
        <f t="shared" si="11"/>
        <v>3</v>
      </c>
      <c r="AC22" s="87">
        <f t="shared" si="12"/>
        <v>3</v>
      </c>
      <c r="AD22" s="87">
        <f t="shared" si="13"/>
        <v>30</v>
      </c>
      <c r="AE22" s="87"/>
      <c r="AF22" s="87">
        <f t="shared" si="14"/>
        <v>5</v>
      </c>
      <c r="AG22" s="87">
        <f t="shared" si="15"/>
        <v>5</v>
      </c>
      <c r="AH22" s="87">
        <f t="shared" si="16"/>
        <v>5</v>
      </c>
      <c r="AI22" s="87">
        <f t="shared" si="17"/>
        <v>5</v>
      </c>
      <c r="AJ22" s="87">
        <f t="shared" si="18"/>
        <v>60</v>
      </c>
    </row>
    <row r="23" spans="2:36" s="59" customFormat="1" ht="30" customHeight="1" x14ac:dyDescent="0.35">
      <c r="B23" s="70" t="s">
        <v>1211</v>
      </c>
      <c r="C23" s="71" t="s">
        <v>1212</v>
      </c>
      <c r="D23" s="71" t="s">
        <v>712</v>
      </c>
      <c r="E23" s="88" t="s">
        <v>713</v>
      </c>
      <c r="F23" s="106">
        <f>7+26/60+48/3600</f>
        <v>7.4466666666666672</v>
      </c>
      <c r="G23" s="105">
        <f>134+29/60+12/3600</f>
        <v>134.48666666666665</v>
      </c>
      <c r="H23" s="63" t="s">
        <v>502</v>
      </c>
      <c r="I23" s="63" t="s">
        <v>311</v>
      </c>
      <c r="J23" s="63" t="s">
        <v>371</v>
      </c>
      <c r="K23" s="64">
        <v>63</v>
      </c>
      <c r="L23" s="64">
        <v>4.9000000000000004</v>
      </c>
      <c r="M23" s="64" t="s">
        <v>298</v>
      </c>
      <c r="N23" s="64" t="s">
        <v>159</v>
      </c>
      <c r="O23" s="64" t="s">
        <v>159</v>
      </c>
      <c r="P23" s="80">
        <v>4</v>
      </c>
      <c r="Q23" s="80">
        <v>4</v>
      </c>
      <c r="R23" s="80">
        <v>2</v>
      </c>
      <c r="S23" s="80">
        <v>3</v>
      </c>
      <c r="T23" s="101">
        <f t="shared" si="2"/>
        <v>65</v>
      </c>
      <c r="U23" s="411">
        <f t="shared" si="7"/>
        <v>1157625</v>
      </c>
      <c r="V23" s="411">
        <f t="shared" si="8"/>
        <v>23200</v>
      </c>
      <c r="Z23" s="87">
        <f t="shared" si="9"/>
        <v>4</v>
      </c>
      <c r="AA23" s="87">
        <f t="shared" si="10"/>
        <v>4</v>
      </c>
      <c r="AB23" s="87">
        <f t="shared" si="11"/>
        <v>2</v>
      </c>
      <c r="AC23" s="87">
        <f t="shared" si="12"/>
        <v>3</v>
      </c>
      <c r="AD23" s="87">
        <f t="shared" si="13"/>
        <v>39</v>
      </c>
      <c r="AE23" s="87"/>
      <c r="AF23" s="87">
        <f t="shared" si="14"/>
        <v>5</v>
      </c>
      <c r="AG23" s="87">
        <f t="shared" si="15"/>
        <v>5</v>
      </c>
      <c r="AH23" s="87">
        <f t="shared" si="16"/>
        <v>5</v>
      </c>
      <c r="AI23" s="87">
        <f t="shared" si="17"/>
        <v>5</v>
      </c>
      <c r="AJ23" s="87">
        <f t="shared" si="18"/>
        <v>60</v>
      </c>
    </row>
    <row r="24" spans="2:36" s="59" customFormat="1" ht="30" customHeight="1" x14ac:dyDescent="0.35">
      <c r="B24" s="70" t="s">
        <v>1213</v>
      </c>
      <c r="C24" s="71" t="s">
        <v>1214</v>
      </c>
      <c r="D24" s="71" t="s">
        <v>710</v>
      </c>
      <c r="E24" s="88" t="s">
        <v>661</v>
      </c>
      <c r="F24" s="105">
        <f>7+26/60+28/3600</f>
        <v>7.4411111111111117</v>
      </c>
      <c r="G24" s="105">
        <f>134+28/60+47/3600</f>
        <v>134.47972222222222</v>
      </c>
      <c r="H24" s="63" t="s">
        <v>421</v>
      </c>
      <c r="I24" s="63" t="s">
        <v>311</v>
      </c>
      <c r="J24" s="63" t="s">
        <v>371</v>
      </c>
      <c r="K24" s="64">
        <v>9</v>
      </c>
      <c r="L24" s="64">
        <v>4</v>
      </c>
      <c r="M24" s="64" t="s">
        <v>298</v>
      </c>
      <c r="N24" s="64" t="s">
        <v>159</v>
      </c>
      <c r="O24" s="64" t="s">
        <v>159</v>
      </c>
      <c r="P24" s="80">
        <v>3</v>
      </c>
      <c r="Q24" s="80">
        <v>3</v>
      </c>
      <c r="R24" s="80">
        <v>2</v>
      </c>
      <c r="S24" s="80">
        <v>3</v>
      </c>
      <c r="T24" s="101">
        <f t="shared" si="2"/>
        <v>55</v>
      </c>
      <c r="U24" s="411">
        <f t="shared" si="7"/>
        <v>135000</v>
      </c>
      <c r="V24" s="411">
        <f t="shared" si="8"/>
        <v>2700</v>
      </c>
      <c r="Z24" s="87">
        <f t="shared" si="9"/>
        <v>3</v>
      </c>
      <c r="AA24" s="87">
        <f t="shared" si="10"/>
        <v>3</v>
      </c>
      <c r="AB24" s="87">
        <f t="shared" si="11"/>
        <v>2</v>
      </c>
      <c r="AC24" s="87">
        <f t="shared" si="12"/>
        <v>3</v>
      </c>
      <c r="AD24" s="87">
        <f t="shared" si="13"/>
        <v>33</v>
      </c>
      <c r="AE24" s="87"/>
      <c r="AF24" s="87">
        <f t="shared" si="14"/>
        <v>5</v>
      </c>
      <c r="AG24" s="87">
        <f t="shared" si="15"/>
        <v>5</v>
      </c>
      <c r="AH24" s="87">
        <f t="shared" si="16"/>
        <v>5</v>
      </c>
      <c r="AI24" s="87">
        <f t="shared" si="17"/>
        <v>5</v>
      </c>
      <c r="AJ24" s="87">
        <f t="shared" si="18"/>
        <v>60</v>
      </c>
    </row>
    <row r="25" spans="2:36" s="59" customFormat="1" ht="30" customHeight="1" x14ac:dyDescent="0.35">
      <c r="B25" s="70" t="s">
        <v>1215</v>
      </c>
      <c r="C25" s="71" t="s">
        <v>1216</v>
      </c>
      <c r="D25" s="71" t="s">
        <v>710</v>
      </c>
      <c r="E25" s="88" t="s">
        <v>661</v>
      </c>
      <c r="F25" s="105">
        <f>7+27/60+15/3600</f>
        <v>7.4541666666666666</v>
      </c>
      <c r="G25" s="105">
        <f>134+29/60+59/3600</f>
        <v>134.4997222222222</v>
      </c>
      <c r="H25" s="63" t="s">
        <v>421</v>
      </c>
      <c r="I25" s="63" t="s">
        <v>311</v>
      </c>
      <c r="J25" s="63" t="s">
        <v>371</v>
      </c>
      <c r="K25" s="64">
        <v>8</v>
      </c>
      <c r="L25" s="64">
        <v>4</v>
      </c>
      <c r="M25" s="64" t="s">
        <v>298</v>
      </c>
      <c r="N25" s="64" t="s">
        <v>159</v>
      </c>
      <c r="O25" s="64" t="s">
        <v>159</v>
      </c>
      <c r="P25" s="80">
        <v>3</v>
      </c>
      <c r="Q25" s="80">
        <v>3</v>
      </c>
      <c r="R25" s="80">
        <v>2</v>
      </c>
      <c r="S25" s="80">
        <v>3</v>
      </c>
      <c r="T25" s="101">
        <f t="shared" si="2"/>
        <v>55</v>
      </c>
      <c r="U25" s="411">
        <f t="shared" si="7"/>
        <v>120000</v>
      </c>
      <c r="V25" s="411">
        <f t="shared" si="8"/>
        <v>2400</v>
      </c>
      <c r="Z25" s="87">
        <f t="shared" si="9"/>
        <v>3</v>
      </c>
      <c r="AA25" s="87">
        <f t="shared" si="10"/>
        <v>3</v>
      </c>
      <c r="AB25" s="87">
        <f t="shared" si="11"/>
        <v>2</v>
      </c>
      <c r="AC25" s="87">
        <f t="shared" si="12"/>
        <v>3</v>
      </c>
      <c r="AD25" s="87">
        <f t="shared" si="13"/>
        <v>33</v>
      </c>
      <c r="AE25" s="87"/>
      <c r="AF25" s="87">
        <f t="shared" si="14"/>
        <v>5</v>
      </c>
      <c r="AG25" s="87">
        <f t="shared" si="15"/>
        <v>5</v>
      </c>
      <c r="AH25" s="87">
        <f t="shared" si="16"/>
        <v>5</v>
      </c>
      <c r="AI25" s="87">
        <f t="shared" si="17"/>
        <v>5</v>
      </c>
      <c r="AJ25" s="87">
        <f t="shared" si="18"/>
        <v>60</v>
      </c>
    </row>
    <row r="26" spans="2:36" s="59" customFormat="1" ht="30" customHeight="1" x14ac:dyDescent="0.35">
      <c r="B26" s="70" t="s">
        <v>372</v>
      </c>
      <c r="C26" s="71" t="s">
        <v>1234</v>
      </c>
      <c r="D26" s="71" t="s">
        <v>370</v>
      </c>
      <c r="E26" s="88" t="s">
        <v>364</v>
      </c>
      <c r="F26" s="82">
        <f>7+22.63611/60</f>
        <v>7.3772684999999996</v>
      </c>
      <c r="G26" s="82">
        <f>134+33.334348/60</f>
        <v>134.55557246666666</v>
      </c>
      <c r="H26" s="63">
        <v>2008</v>
      </c>
      <c r="I26" s="63" t="s">
        <v>311</v>
      </c>
      <c r="J26" s="63" t="s">
        <v>371</v>
      </c>
      <c r="K26" s="64">
        <v>38</v>
      </c>
      <c r="L26" s="64">
        <v>14.5</v>
      </c>
      <c r="M26" s="64" t="s">
        <v>298</v>
      </c>
      <c r="N26" s="64" t="s">
        <v>298</v>
      </c>
      <c r="O26" s="64" t="s">
        <v>164</v>
      </c>
      <c r="P26" s="80">
        <v>5</v>
      </c>
      <c r="Q26" s="80">
        <v>5</v>
      </c>
      <c r="R26" s="80">
        <v>5</v>
      </c>
      <c r="S26" s="80">
        <v>5</v>
      </c>
      <c r="T26" s="101">
        <f t="shared" si="2"/>
        <v>100</v>
      </c>
      <c r="U26" s="411">
        <f t="shared" si="7"/>
        <v>2066250</v>
      </c>
      <c r="V26" s="411">
        <f t="shared" si="8"/>
        <v>41300</v>
      </c>
      <c r="Z26" s="87">
        <f t="shared" si="9"/>
        <v>5</v>
      </c>
      <c r="AA26" s="87">
        <f t="shared" si="10"/>
        <v>5</v>
      </c>
      <c r="AB26" s="87">
        <f t="shared" si="11"/>
        <v>5</v>
      </c>
      <c r="AC26" s="87">
        <f t="shared" si="12"/>
        <v>5</v>
      </c>
      <c r="AD26" s="87">
        <f t="shared" si="13"/>
        <v>60</v>
      </c>
      <c r="AE26" s="87"/>
      <c r="AF26" s="87">
        <f t="shared" si="14"/>
        <v>5</v>
      </c>
      <c r="AG26" s="87">
        <f t="shared" si="15"/>
        <v>5</v>
      </c>
      <c r="AH26" s="87">
        <f t="shared" si="16"/>
        <v>5</v>
      </c>
      <c r="AI26" s="87">
        <f t="shared" si="17"/>
        <v>5</v>
      </c>
      <c r="AJ26" s="87">
        <f t="shared" si="18"/>
        <v>60</v>
      </c>
    </row>
    <row r="27" spans="2:36" s="59" customFormat="1" ht="30" customHeight="1" x14ac:dyDescent="0.35">
      <c r="B27" s="70" t="s">
        <v>1201</v>
      </c>
      <c r="C27" s="71" t="s">
        <v>1202</v>
      </c>
      <c r="D27" s="71" t="s">
        <v>1207</v>
      </c>
      <c r="E27" s="88" t="s">
        <v>1203</v>
      </c>
      <c r="F27" s="106">
        <f>7+21/60+41/3600</f>
        <v>7.3613888888888885</v>
      </c>
      <c r="G27" s="105">
        <f>134+21/60+46.5/3600</f>
        <v>134.36291666666665</v>
      </c>
      <c r="H27" s="63">
        <v>2001</v>
      </c>
      <c r="I27" s="63" t="s">
        <v>311</v>
      </c>
      <c r="J27" s="63" t="s">
        <v>371</v>
      </c>
      <c r="K27" s="64">
        <v>412</v>
      </c>
      <c r="L27" s="64">
        <v>11.6</v>
      </c>
      <c r="M27" s="64" t="s">
        <v>298</v>
      </c>
      <c r="N27" s="64" t="s">
        <v>1204</v>
      </c>
      <c r="O27" s="64" t="s">
        <v>163</v>
      </c>
      <c r="P27" s="80">
        <v>5</v>
      </c>
      <c r="Q27" s="80">
        <v>5</v>
      </c>
      <c r="R27" s="80">
        <v>4</v>
      </c>
      <c r="S27" s="80">
        <v>5</v>
      </c>
      <c r="T27" s="101">
        <f t="shared" si="2"/>
        <v>95</v>
      </c>
      <c r="U27" s="411">
        <f t="shared" si="7"/>
        <v>17922000</v>
      </c>
      <c r="V27" s="411">
        <f t="shared" si="8"/>
        <v>358400</v>
      </c>
      <c r="Z27" s="87">
        <f t="shared" si="9"/>
        <v>5</v>
      </c>
      <c r="AA27" s="87">
        <f t="shared" si="10"/>
        <v>5</v>
      </c>
      <c r="AB27" s="87">
        <f t="shared" si="11"/>
        <v>4</v>
      </c>
      <c r="AC27" s="87">
        <f t="shared" si="12"/>
        <v>5</v>
      </c>
      <c r="AD27" s="87">
        <f t="shared" si="13"/>
        <v>57</v>
      </c>
      <c r="AE27" s="87"/>
      <c r="AF27" s="87">
        <f t="shared" si="14"/>
        <v>5</v>
      </c>
      <c r="AG27" s="87">
        <f t="shared" si="15"/>
        <v>5</v>
      </c>
      <c r="AH27" s="87">
        <f t="shared" si="16"/>
        <v>5</v>
      </c>
      <c r="AI27" s="87">
        <f t="shared" si="17"/>
        <v>5</v>
      </c>
      <c r="AJ27" s="87">
        <f t="shared" si="18"/>
        <v>60</v>
      </c>
    </row>
    <row r="28" spans="2:36" s="59" customFormat="1" ht="30" customHeight="1" x14ac:dyDescent="0.35">
      <c r="B28" s="70" t="s">
        <v>1245</v>
      </c>
      <c r="C28" s="71" t="s">
        <v>1246</v>
      </c>
      <c r="D28" s="71" t="s">
        <v>748</v>
      </c>
      <c r="E28" s="88" t="s">
        <v>1247</v>
      </c>
      <c r="F28" s="106">
        <f>7+21/60+38/3600</f>
        <v>7.3605555555555551</v>
      </c>
      <c r="G28" s="105">
        <f>134+33/60+27/3600</f>
        <v>134.5575</v>
      </c>
      <c r="H28" s="63">
        <v>1994</v>
      </c>
      <c r="I28" s="63">
        <v>2012</v>
      </c>
      <c r="J28" s="63" t="s">
        <v>1248</v>
      </c>
      <c r="K28" s="64"/>
      <c r="L28" s="64">
        <v>7.3</v>
      </c>
      <c r="M28" s="64" t="s">
        <v>298</v>
      </c>
      <c r="N28" s="64" t="s">
        <v>298</v>
      </c>
      <c r="O28" s="64" t="s">
        <v>164</v>
      </c>
      <c r="P28" s="80">
        <v>4</v>
      </c>
      <c r="Q28" s="80">
        <v>4</v>
      </c>
      <c r="R28" s="80">
        <v>5</v>
      </c>
      <c r="S28" s="80">
        <v>5</v>
      </c>
      <c r="T28" s="101">
        <f t="shared" si="2"/>
        <v>90</v>
      </c>
      <c r="U28" s="411">
        <f t="shared" si="7"/>
        <v>0</v>
      </c>
      <c r="V28" s="411">
        <f t="shared" si="8"/>
        <v>0</v>
      </c>
      <c r="Z28" s="87">
        <f t="shared" si="9"/>
        <v>4</v>
      </c>
      <c r="AA28" s="87">
        <f t="shared" si="10"/>
        <v>4</v>
      </c>
      <c r="AB28" s="87">
        <f t="shared" si="11"/>
        <v>5</v>
      </c>
      <c r="AC28" s="87">
        <f t="shared" si="12"/>
        <v>5</v>
      </c>
      <c r="AD28" s="87">
        <f t="shared" si="13"/>
        <v>54</v>
      </c>
      <c r="AE28" s="87"/>
      <c r="AF28" s="87">
        <f t="shared" si="14"/>
        <v>5</v>
      </c>
      <c r="AG28" s="87">
        <f t="shared" si="15"/>
        <v>5</v>
      </c>
      <c r="AH28" s="87">
        <f t="shared" si="16"/>
        <v>5</v>
      </c>
      <c r="AI28" s="87">
        <f t="shared" si="17"/>
        <v>5</v>
      </c>
      <c r="AJ28" s="87">
        <f t="shared" si="18"/>
        <v>60</v>
      </c>
    </row>
    <row r="29" spans="2:36" s="59" customFormat="1" ht="30" customHeight="1" x14ac:dyDescent="0.35">
      <c r="B29" s="70" t="s">
        <v>1205</v>
      </c>
      <c r="C29" s="71" t="s">
        <v>1206</v>
      </c>
      <c r="D29" s="71" t="s">
        <v>1209</v>
      </c>
      <c r="E29" s="88" t="s">
        <v>1208</v>
      </c>
      <c r="F29" s="106">
        <f>7+20/60+23/3600</f>
        <v>7.339722222222222</v>
      </c>
      <c r="G29" s="105">
        <f>134+27/60+44/3600</f>
        <v>134.46222222222221</v>
      </c>
      <c r="H29" s="63">
        <v>1979</v>
      </c>
      <c r="I29" s="63">
        <v>2015</v>
      </c>
      <c r="J29" s="63" t="s">
        <v>1210</v>
      </c>
      <c r="K29" s="64">
        <v>63</v>
      </c>
      <c r="L29" s="64">
        <v>9.8000000000000007</v>
      </c>
      <c r="M29" s="64" t="s">
        <v>298</v>
      </c>
      <c r="N29" s="64" t="s">
        <v>1204</v>
      </c>
      <c r="O29" s="64" t="s">
        <v>163</v>
      </c>
      <c r="P29" s="80">
        <v>3</v>
      </c>
      <c r="Q29" s="80">
        <v>4</v>
      </c>
      <c r="R29" s="80">
        <v>4</v>
      </c>
      <c r="S29" s="80">
        <v>4</v>
      </c>
      <c r="T29" s="101">
        <f t="shared" si="2"/>
        <v>75</v>
      </c>
      <c r="U29" s="411">
        <f t="shared" si="7"/>
        <v>2315250</v>
      </c>
      <c r="V29" s="411">
        <f t="shared" si="8"/>
        <v>46300</v>
      </c>
      <c r="Z29" s="87">
        <f t="shared" si="9"/>
        <v>3</v>
      </c>
      <c r="AA29" s="87">
        <f t="shared" si="10"/>
        <v>4</v>
      </c>
      <c r="AB29" s="87">
        <f t="shared" si="11"/>
        <v>4</v>
      </c>
      <c r="AC29" s="87">
        <f t="shared" si="12"/>
        <v>4</v>
      </c>
      <c r="AD29" s="87">
        <f t="shared" si="13"/>
        <v>45</v>
      </c>
      <c r="AE29" s="87"/>
      <c r="AF29" s="87">
        <f t="shared" si="14"/>
        <v>5</v>
      </c>
      <c r="AG29" s="87">
        <f t="shared" si="15"/>
        <v>5</v>
      </c>
      <c r="AH29" s="87">
        <f t="shared" si="16"/>
        <v>5</v>
      </c>
      <c r="AI29" s="87">
        <f t="shared" si="17"/>
        <v>5</v>
      </c>
      <c r="AJ29" s="87">
        <f t="shared" si="18"/>
        <v>60</v>
      </c>
    </row>
    <row r="30" spans="2:36" s="59" customFormat="1" ht="25" customHeight="1" x14ac:dyDescent="0.35">
      <c r="B30" s="70"/>
      <c r="C30" s="71"/>
      <c r="D30" s="71"/>
      <c r="E30" s="88"/>
      <c r="F30" s="71"/>
      <c r="G30" s="71"/>
      <c r="H30" s="63"/>
      <c r="I30" s="63"/>
      <c r="J30" s="63"/>
      <c r="K30" s="64"/>
      <c r="L30" s="64"/>
      <c r="M30" s="64"/>
      <c r="N30" s="64"/>
      <c r="O30" s="64"/>
      <c r="P30" s="74"/>
      <c r="Q30" s="74"/>
      <c r="R30" s="74"/>
      <c r="S30" s="63"/>
      <c r="T30" s="58"/>
      <c r="Z30" s="87">
        <f t="shared" si="9"/>
        <v>0</v>
      </c>
      <c r="AA30" s="87">
        <f t="shared" si="10"/>
        <v>0</v>
      </c>
      <c r="AB30" s="87">
        <f t="shared" si="11"/>
        <v>0</v>
      </c>
      <c r="AC30" s="87">
        <f t="shared" si="12"/>
        <v>0</v>
      </c>
      <c r="AD30" s="87">
        <f t="shared" si="13"/>
        <v>0</v>
      </c>
      <c r="AE30" s="87"/>
      <c r="AF30" s="87">
        <f t="shared" si="14"/>
        <v>0</v>
      </c>
      <c r="AG30" s="87">
        <f t="shared" si="15"/>
        <v>0</v>
      </c>
      <c r="AH30" s="87">
        <f t="shared" si="16"/>
        <v>0</v>
      </c>
      <c r="AI30" s="87">
        <f t="shared" si="17"/>
        <v>0</v>
      </c>
      <c r="AJ30" s="87">
        <f t="shared" si="18"/>
        <v>0</v>
      </c>
    </row>
    <row r="31" spans="2:36" s="59" customFormat="1" ht="25" customHeight="1" x14ac:dyDescent="0.35">
      <c r="B31" s="70"/>
      <c r="C31" s="71"/>
      <c r="D31" s="71"/>
      <c r="E31" s="88"/>
      <c r="F31" s="71"/>
      <c r="G31" s="71"/>
      <c r="H31" s="63"/>
      <c r="I31" s="63"/>
      <c r="J31" s="63"/>
      <c r="K31" s="64"/>
      <c r="L31" s="64"/>
      <c r="M31" s="64"/>
      <c r="N31" s="64"/>
      <c r="O31" s="64"/>
      <c r="P31" s="74"/>
      <c r="Q31" s="74"/>
      <c r="R31" s="74"/>
      <c r="S31" s="63"/>
      <c r="T31" s="58"/>
    </row>
    <row r="32" spans="2:36" s="59" customFormat="1" ht="25" customHeight="1" x14ac:dyDescent="0.35">
      <c r="B32" s="70"/>
      <c r="C32" s="71"/>
      <c r="D32" s="71"/>
      <c r="E32" s="88"/>
      <c r="F32" s="71"/>
      <c r="G32" s="71"/>
      <c r="H32" s="63"/>
      <c r="I32" s="63"/>
      <c r="J32" s="63"/>
      <c r="K32" s="64"/>
      <c r="L32" s="64"/>
      <c r="M32" s="64"/>
      <c r="N32" s="64"/>
      <c r="O32" s="64"/>
      <c r="P32" s="74"/>
      <c r="Q32" s="74"/>
      <c r="R32" s="74"/>
      <c r="S32" s="63"/>
      <c r="T32" s="58" t="s">
        <v>1621</v>
      </c>
      <c r="U32" s="413">
        <f>SUM(U6:U29)</f>
        <v>36343110</v>
      </c>
      <c r="V32" s="413">
        <f>SUM(V6:V29)</f>
        <v>726900</v>
      </c>
    </row>
    <row r="33" spans="2:20" s="59" customFormat="1" ht="25" customHeight="1" x14ac:dyDescent="0.35">
      <c r="B33" s="70"/>
      <c r="C33" s="71"/>
      <c r="D33" s="71"/>
      <c r="E33" s="88"/>
      <c r="F33" s="71"/>
      <c r="G33" s="71"/>
      <c r="H33" s="63"/>
      <c r="I33" s="63"/>
      <c r="J33" s="63"/>
      <c r="K33" s="64"/>
      <c r="L33" s="64"/>
      <c r="M33" s="64"/>
      <c r="N33" s="64"/>
      <c r="O33" s="64"/>
      <c r="P33" s="74"/>
      <c r="Q33" s="74"/>
      <c r="R33" s="74"/>
      <c r="S33" s="63"/>
      <c r="T33" s="58"/>
    </row>
    <row r="34" spans="2:20" s="59" customFormat="1" ht="25" customHeight="1" x14ac:dyDescent="0.35">
      <c r="B34" s="70"/>
      <c r="C34" s="71"/>
      <c r="D34" s="71"/>
      <c r="E34" s="88"/>
      <c r="F34" s="71"/>
      <c r="G34" s="71"/>
      <c r="H34" s="63"/>
      <c r="I34" s="63"/>
      <c r="J34" s="63"/>
      <c r="K34" s="64"/>
      <c r="L34" s="64"/>
      <c r="M34" s="64"/>
      <c r="N34" s="64"/>
      <c r="O34" s="64"/>
      <c r="P34" s="74"/>
      <c r="Q34" s="74"/>
      <c r="R34" s="74"/>
      <c r="S34" s="63"/>
      <c r="T34" s="58"/>
    </row>
    <row r="35" spans="2:20" s="59" customFormat="1" ht="25" customHeight="1" x14ac:dyDescent="0.35">
      <c r="B35" s="70"/>
      <c r="C35" s="71"/>
      <c r="D35" s="71"/>
      <c r="E35" s="88"/>
      <c r="F35" s="71"/>
      <c r="G35" s="71"/>
      <c r="H35" s="63"/>
      <c r="I35" s="63"/>
      <c r="J35" s="63"/>
      <c r="K35" s="64"/>
      <c r="L35" s="64"/>
      <c r="M35" s="64"/>
      <c r="N35" s="64"/>
      <c r="O35" s="64"/>
      <c r="P35" s="74"/>
      <c r="Q35" s="74"/>
      <c r="R35" s="74"/>
      <c r="S35" s="63"/>
      <c r="T35" s="58"/>
    </row>
    <row r="36" spans="2:20" s="59" customFormat="1" ht="25" customHeight="1" x14ac:dyDescent="0.35">
      <c r="B36" s="70"/>
      <c r="C36" s="71"/>
      <c r="D36" s="71"/>
      <c r="E36" s="88"/>
      <c r="F36" s="71"/>
      <c r="G36" s="71"/>
      <c r="H36" s="63"/>
      <c r="I36" s="63"/>
      <c r="J36" s="63"/>
      <c r="K36" s="64"/>
      <c r="L36" s="64"/>
      <c r="M36" s="64"/>
      <c r="N36" s="64"/>
      <c r="O36" s="64"/>
      <c r="P36" s="74"/>
      <c r="Q36" s="74"/>
      <c r="R36" s="74"/>
      <c r="S36" s="63"/>
      <c r="T36" s="58"/>
    </row>
    <row r="37" spans="2:20" s="59" customFormat="1" ht="25" customHeight="1" x14ac:dyDescent="0.35">
      <c r="B37" s="70"/>
      <c r="C37" s="71"/>
      <c r="D37" s="71"/>
      <c r="E37" s="88"/>
      <c r="F37" s="71"/>
      <c r="G37" s="71"/>
      <c r="H37" s="63"/>
      <c r="I37" s="63"/>
      <c r="J37" s="63"/>
      <c r="K37" s="64"/>
      <c r="L37" s="64"/>
      <c r="M37" s="64"/>
      <c r="N37" s="64"/>
      <c r="O37" s="64"/>
      <c r="P37" s="74"/>
      <c r="Q37" s="74"/>
      <c r="R37" s="74"/>
      <c r="S37" s="63"/>
      <c r="T37" s="58"/>
    </row>
    <row r="38" spans="2:20" ht="25" customHeight="1" x14ac:dyDescent="0.35">
      <c r="B38" s="70"/>
      <c r="C38" s="71"/>
      <c r="D38" s="71"/>
      <c r="E38" s="88"/>
      <c r="F38" s="71"/>
      <c r="G38" s="71"/>
      <c r="H38" s="63"/>
      <c r="I38" s="63"/>
      <c r="J38" s="63"/>
      <c r="K38" s="64"/>
      <c r="L38" s="64"/>
      <c r="M38" s="64"/>
      <c r="N38" s="64"/>
      <c r="O38" s="64"/>
      <c r="P38" s="74"/>
      <c r="Q38" s="74"/>
      <c r="R38" s="74"/>
      <c r="S38" s="63"/>
    </row>
    <row r="39" spans="2:20" ht="25" customHeight="1" x14ac:dyDescent="0.35">
      <c r="B39" s="70"/>
      <c r="C39" s="71"/>
      <c r="D39" s="71"/>
      <c r="E39" s="88"/>
      <c r="F39" s="71"/>
      <c r="G39" s="71"/>
      <c r="H39" s="63"/>
      <c r="I39" s="63"/>
      <c r="J39" s="63"/>
      <c r="K39" s="64"/>
      <c r="L39" s="64"/>
      <c r="M39" s="64"/>
      <c r="N39" s="64"/>
      <c r="O39" s="64"/>
      <c r="P39" s="74"/>
      <c r="Q39" s="74"/>
      <c r="R39" s="74"/>
      <c r="S39" s="63"/>
    </row>
    <row r="40" spans="2:20" ht="25" customHeight="1" x14ac:dyDescent="0.35">
      <c r="B40" s="70"/>
      <c r="C40" s="71"/>
      <c r="D40" s="71"/>
      <c r="E40" s="88"/>
      <c r="F40" s="71"/>
      <c r="G40" s="71"/>
      <c r="H40" s="63"/>
      <c r="I40" s="63"/>
      <c r="J40" s="63"/>
      <c r="K40" s="64"/>
      <c r="L40" s="64"/>
      <c r="M40" s="64"/>
      <c r="N40" s="64"/>
      <c r="O40" s="64"/>
      <c r="P40" s="74"/>
      <c r="Q40" s="74"/>
      <c r="R40" s="74"/>
      <c r="S40" s="63"/>
    </row>
    <row r="41" spans="2:20" ht="25" customHeight="1" x14ac:dyDescent="0.35">
      <c r="B41" s="70"/>
      <c r="C41" s="71"/>
      <c r="D41" s="71"/>
      <c r="E41" s="88"/>
      <c r="F41" s="71"/>
      <c r="G41" s="71"/>
      <c r="H41" s="63"/>
      <c r="I41" s="63"/>
      <c r="J41" s="63"/>
      <c r="K41" s="64"/>
      <c r="L41" s="64"/>
      <c r="M41" s="64"/>
      <c r="N41" s="64"/>
      <c r="O41" s="64"/>
      <c r="P41" s="74"/>
      <c r="Q41" s="74"/>
      <c r="R41" s="74"/>
      <c r="S41" s="63"/>
    </row>
    <row r="42" spans="2:20" ht="25" customHeight="1" x14ac:dyDescent="0.35">
      <c r="B42" s="70"/>
      <c r="C42" s="71"/>
      <c r="D42" s="71"/>
      <c r="E42" s="88"/>
      <c r="F42" s="71"/>
      <c r="G42" s="71"/>
      <c r="H42" s="63"/>
      <c r="I42" s="63"/>
      <c r="J42" s="63"/>
      <c r="K42" s="64"/>
      <c r="L42" s="64"/>
      <c r="M42" s="64"/>
      <c r="N42" s="64"/>
      <c r="O42" s="64"/>
      <c r="P42" s="74"/>
      <c r="Q42" s="74"/>
      <c r="R42" s="74"/>
      <c r="S42" s="63"/>
    </row>
    <row r="43" spans="2:20" ht="25" customHeight="1" x14ac:dyDescent="0.35">
      <c r="B43" s="70"/>
      <c r="C43" s="71"/>
      <c r="D43" s="71"/>
      <c r="E43" s="88"/>
      <c r="F43" s="71"/>
      <c r="G43" s="71"/>
      <c r="H43" s="63"/>
      <c r="I43" s="63"/>
      <c r="J43" s="63"/>
      <c r="K43" s="64"/>
      <c r="L43" s="64"/>
      <c r="M43" s="64"/>
      <c r="N43" s="64"/>
      <c r="O43" s="64"/>
      <c r="P43" s="74"/>
      <c r="Q43" s="74"/>
      <c r="R43" s="74"/>
      <c r="S43" s="63"/>
    </row>
    <row r="44" spans="2:20" ht="25" customHeight="1" x14ac:dyDescent="0.35">
      <c r="B44" s="70"/>
      <c r="C44" s="71"/>
      <c r="D44" s="71"/>
      <c r="E44" s="88"/>
      <c r="F44" s="71"/>
      <c r="G44" s="71"/>
      <c r="H44" s="63"/>
      <c r="I44" s="63"/>
      <c r="J44" s="63"/>
      <c r="K44" s="64"/>
      <c r="L44" s="64"/>
      <c r="M44" s="64"/>
      <c r="N44" s="64"/>
      <c r="O44" s="64"/>
      <c r="P44" s="74"/>
      <c r="Q44" s="74"/>
      <c r="R44" s="74"/>
      <c r="S44" s="63"/>
    </row>
    <row r="45" spans="2:20" ht="25" customHeight="1" x14ac:dyDescent="0.35">
      <c r="B45" s="70"/>
      <c r="C45" s="71"/>
      <c r="D45" s="71"/>
      <c r="E45" s="88"/>
      <c r="F45" s="71"/>
      <c r="G45" s="71"/>
      <c r="H45" s="63"/>
      <c r="I45" s="63"/>
      <c r="J45" s="63"/>
      <c r="K45" s="64"/>
      <c r="L45" s="64"/>
      <c r="M45" s="64"/>
      <c r="N45" s="64"/>
      <c r="O45" s="64"/>
      <c r="P45" s="74"/>
      <c r="Q45" s="74"/>
      <c r="R45" s="74"/>
      <c r="S45" s="63"/>
    </row>
    <row r="46" spans="2:20" ht="25" customHeight="1" x14ac:dyDescent="0.35">
      <c r="B46" s="70"/>
      <c r="C46" s="71"/>
      <c r="D46" s="71"/>
      <c r="E46" s="88"/>
      <c r="F46" s="71"/>
      <c r="G46" s="71"/>
      <c r="H46" s="63"/>
      <c r="I46" s="63"/>
      <c r="J46" s="63"/>
      <c r="K46" s="64"/>
      <c r="L46" s="64"/>
      <c r="M46" s="64"/>
      <c r="N46" s="64"/>
      <c r="O46" s="64"/>
      <c r="P46" s="74"/>
      <c r="Q46" s="74"/>
      <c r="R46" s="74"/>
      <c r="S46" s="63"/>
    </row>
    <row r="47" spans="2:20" ht="25" customHeight="1" x14ac:dyDescent="0.35">
      <c r="B47" s="70"/>
      <c r="C47" s="71"/>
      <c r="D47" s="71"/>
      <c r="E47" s="88"/>
      <c r="F47" s="71"/>
      <c r="G47" s="71"/>
      <c r="H47" s="63"/>
      <c r="I47" s="63"/>
      <c r="J47" s="63"/>
      <c r="K47" s="64"/>
      <c r="L47" s="64"/>
      <c r="M47" s="64"/>
      <c r="N47" s="64"/>
      <c r="O47" s="64"/>
      <c r="P47" s="74"/>
      <c r="Q47" s="74"/>
      <c r="R47" s="74"/>
      <c r="S47" s="63"/>
    </row>
    <row r="48" spans="2:20" ht="25" customHeight="1" x14ac:dyDescent="0.35">
      <c r="B48" s="70"/>
      <c r="C48" s="71"/>
      <c r="D48" s="71"/>
      <c r="E48" s="88"/>
      <c r="F48" s="71"/>
      <c r="G48" s="71"/>
      <c r="H48" s="63"/>
      <c r="I48" s="63"/>
      <c r="J48" s="63"/>
      <c r="K48" s="64"/>
      <c r="L48" s="64"/>
      <c r="M48" s="64"/>
      <c r="N48" s="64"/>
      <c r="O48" s="64"/>
      <c r="P48" s="74"/>
      <c r="Q48" s="74"/>
      <c r="R48" s="74"/>
      <c r="S48" s="63"/>
    </row>
    <row r="49" spans="2:19" ht="25" customHeight="1" x14ac:dyDescent="0.35">
      <c r="B49" s="70"/>
      <c r="C49" s="71"/>
      <c r="D49" s="71"/>
      <c r="E49" s="88"/>
      <c r="F49" s="71"/>
      <c r="G49" s="71"/>
      <c r="H49" s="63"/>
      <c r="I49" s="63"/>
      <c r="J49" s="63"/>
      <c r="K49" s="64"/>
      <c r="L49" s="64"/>
      <c r="M49" s="64"/>
      <c r="N49" s="64"/>
      <c r="O49" s="64"/>
      <c r="P49" s="74"/>
      <c r="Q49" s="74"/>
      <c r="R49" s="74"/>
      <c r="S49" s="63"/>
    </row>
    <row r="50" spans="2:19" ht="25" customHeight="1" x14ac:dyDescent="0.35">
      <c r="B50" s="70"/>
      <c r="C50" s="71"/>
      <c r="D50" s="71"/>
      <c r="E50" s="88"/>
      <c r="F50" s="71"/>
      <c r="G50" s="71"/>
      <c r="H50" s="63"/>
      <c r="I50" s="63"/>
      <c r="J50" s="63"/>
      <c r="K50" s="64"/>
      <c r="L50" s="64"/>
      <c r="M50" s="64"/>
      <c r="N50" s="64"/>
      <c r="O50" s="64"/>
      <c r="P50" s="74"/>
      <c r="Q50" s="74"/>
      <c r="R50" s="74"/>
      <c r="S50" s="63"/>
    </row>
    <row r="51" spans="2:19" ht="25" customHeight="1" x14ac:dyDescent="0.35">
      <c r="B51" s="70"/>
      <c r="C51" s="71"/>
      <c r="D51" s="71"/>
      <c r="E51" s="88"/>
      <c r="F51" s="71"/>
      <c r="G51" s="71"/>
      <c r="H51" s="63"/>
      <c r="I51" s="63"/>
      <c r="J51" s="63"/>
      <c r="K51" s="64"/>
      <c r="L51" s="64"/>
      <c r="M51" s="64"/>
      <c r="N51" s="64"/>
      <c r="O51" s="64"/>
      <c r="P51" s="74"/>
      <c r="Q51" s="74"/>
      <c r="R51" s="74"/>
      <c r="S51" s="63"/>
    </row>
    <row r="52" spans="2:19" ht="25" customHeight="1" x14ac:dyDescent="0.35">
      <c r="B52" s="70"/>
      <c r="C52" s="71"/>
      <c r="D52" s="71"/>
      <c r="E52" s="88"/>
      <c r="F52" s="71"/>
      <c r="G52" s="71"/>
      <c r="H52" s="63"/>
      <c r="I52" s="63"/>
      <c r="J52" s="63"/>
      <c r="K52" s="64"/>
      <c r="L52" s="64"/>
      <c r="M52" s="64"/>
      <c r="N52" s="64"/>
      <c r="O52" s="64"/>
      <c r="P52" s="74"/>
      <c r="Q52" s="74"/>
      <c r="R52" s="74"/>
      <c r="S52" s="63"/>
    </row>
    <row r="53" spans="2:19" ht="25" customHeight="1" x14ac:dyDescent="0.35">
      <c r="B53" s="70"/>
      <c r="C53" s="71"/>
      <c r="D53" s="71"/>
      <c r="E53" s="88"/>
      <c r="F53" s="71"/>
      <c r="G53" s="71"/>
      <c r="H53" s="63"/>
      <c r="I53" s="63"/>
      <c r="J53" s="63"/>
      <c r="K53" s="64"/>
      <c r="L53" s="64"/>
      <c r="M53" s="64"/>
      <c r="N53" s="64"/>
      <c r="O53" s="64"/>
      <c r="P53" s="74"/>
      <c r="Q53" s="74"/>
      <c r="R53" s="74"/>
      <c r="S53" s="63"/>
    </row>
    <row r="54" spans="2:19" ht="25" customHeight="1" x14ac:dyDescent="0.35">
      <c r="B54" s="70"/>
      <c r="C54" s="71"/>
      <c r="D54" s="71"/>
      <c r="E54" s="88"/>
      <c r="F54" s="71"/>
      <c r="G54" s="71"/>
      <c r="H54" s="63"/>
      <c r="I54" s="63"/>
      <c r="J54" s="63"/>
      <c r="K54" s="64"/>
      <c r="L54" s="64"/>
      <c r="M54" s="64"/>
      <c r="N54" s="64"/>
      <c r="O54" s="64"/>
      <c r="P54" s="74"/>
      <c r="Q54" s="74"/>
      <c r="R54" s="74"/>
      <c r="S54" s="63"/>
    </row>
    <row r="55" spans="2:19" ht="25" customHeight="1" x14ac:dyDescent="0.35">
      <c r="B55" s="70"/>
      <c r="C55" s="71"/>
      <c r="D55" s="71"/>
      <c r="E55" s="88"/>
      <c r="F55" s="71"/>
      <c r="G55" s="71"/>
      <c r="H55" s="63"/>
      <c r="I55" s="63"/>
      <c r="J55" s="63"/>
      <c r="K55" s="64"/>
      <c r="L55" s="64"/>
      <c r="M55" s="64"/>
      <c r="N55" s="64"/>
      <c r="O55" s="64"/>
      <c r="P55" s="74"/>
      <c r="Q55" s="74"/>
      <c r="R55" s="74"/>
      <c r="S55" s="63"/>
    </row>
    <row r="56" spans="2:19" ht="25" customHeight="1" x14ac:dyDescent="0.35">
      <c r="B56" s="70"/>
      <c r="C56" s="71"/>
      <c r="D56" s="71"/>
      <c r="E56" s="88"/>
      <c r="F56" s="71"/>
      <c r="G56" s="71"/>
      <c r="H56" s="63"/>
      <c r="I56" s="63"/>
      <c r="J56" s="63"/>
      <c r="K56" s="64"/>
      <c r="L56" s="64"/>
      <c r="M56" s="64"/>
      <c r="N56" s="64"/>
      <c r="O56" s="64"/>
      <c r="P56" s="74"/>
      <c r="Q56" s="74"/>
      <c r="R56" s="74"/>
      <c r="S56" s="63"/>
    </row>
    <row r="57" spans="2:19" ht="25" customHeight="1" x14ac:dyDescent="0.35">
      <c r="B57" s="70"/>
      <c r="C57" s="71"/>
      <c r="D57" s="71"/>
      <c r="E57" s="88"/>
      <c r="F57" s="71"/>
      <c r="G57" s="71"/>
      <c r="H57" s="63"/>
      <c r="I57" s="63"/>
      <c r="J57" s="63"/>
      <c r="K57" s="64"/>
      <c r="L57" s="64"/>
      <c r="M57" s="64"/>
      <c r="N57" s="64"/>
      <c r="O57" s="64"/>
      <c r="P57" s="74"/>
      <c r="Q57" s="74"/>
      <c r="R57" s="74"/>
      <c r="S57" s="63"/>
    </row>
    <row r="58" spans="2:19" ht="25" customHeight="1" x14ac:dyDescent="0.35">
      <c r="B58" s="70"/>
      <c r="C58" s="71"/>
      <c r="D58" s="71"/>
      <c r="E58" s="88"/>
      <c r="F58" s="71"/>
      <c r="G58" s="71"/>
      <c r="H58" s="63"/>
      <c r="I58" s="63"/>
      <c r="J58" s="63"/>
      <c r="K58" s="64"/>
      <c r="L58" s="64"/>
      <c r="M58" s="64"/>
      <c r="N58" s="64"/>
      <c r="O58" s="64"/>
      <c r="P58" s="74"/>
      <c r="Q58" s="74"/>
      <c r="R58" s="74"/>
      <c r="S58" s="63"/>
    </row>
    <row r="59" spans="2:19" ht="25" customHeight="1" x14ac:dyDescent="0.35">
      <c r="B59" s="70"/>
      <c r="C59" s="71"/>
      <c r="D59" s="71"/>
      <c r="E59" s="88"/>
      <c r="F59" s="71"/>
      <c r="G59" s="71"/>
      <c r="H59" s="63"/>
      <c r="I59" s="63"/>
      <c r="J59" s="63"/>
      <c r="K59" s="64"/>
      <c r="L59" s="64"/>
      <c r="M59" s="64"/>
      <c r="N59" s="64"/>
      <c r="O59" s="64"/>
      <c r="P59" s="74"/>
      <c r="Q59" s="74"/>
      <c r="R59" s="74"/>
      <c r="S59" s="63"/>
    </row>
    <row r="60" spans="2:19" ht="25" customHeight="1" x14ac:dyDescent="0.35">
      <c r="B60" s="70"/>
      <c r="C60" s="71"/>
      <c r="D60" s="71"/>
      <c r="E60" s="88"/>
      <c r="F60" s="71"/>
      <c r="G60" s="71"/>
      <c r="H60" s="63"/>
      <c r="I60" s="63"/>
      <c r="J60" s="63"/>
      <c r="K60" s="64"/>
      <c r="L60" s="64"/>
      <c r="M60" s="64"/>
      <c r="N60" s="64"/>
      <c r="O60" s="64"/>
      <c r="P60" s="74"/>
      <c r="Q60" s="74"/>
      <c r="R60" s="74"/>
      <c r="S60" s="63"/>
    </row>
    <row r="61" spans="2:19" ht="25" customHeight="1" x14ac:dyDescent="0.35">
      <c r="B61" s="70"/>
      <c r="C61" s="71"/>
      <c r="D61" s="71"/>
      <c r="E61" s="88"/>
      <c r="F61" s="71"/>
      <c r="G61" s="71"/>
      <c r="H61" s="63"/>
      <c r="I61" s="63"/>
      <c r="J61" s="63"/>
      <c r="K61" s="64"/>
      <c r="L61" s="64"/>
      <c r="M61" s="64"/>
      <c r="N61" s="64"/>
      <c r="O61" s="64"/>
      <c r="P61" s="74"/>
      <c r="Q61" s="74"/>
      <c r="R61" s="74"/>
      <c r="S61" s="63"/>
    </row>
    <row r="62" spans="2:19" ht="25" customHeight="1" x14ac:dyDescent="0.35">
      <c r="B62" s="70"/>
      <c r="C62" s="71"/>
      <c r="D62" s="71"/>
      <c r="E62" s="88"/>
      <c r="F62" s="71"/>
      <c r="G62" s="71"/>
      <c r="H62" s="63"/>
      <c r="I62" s="63"/>
      <c r="J62" s="63"/>
      <c r="K62" s="64"/>
      <c r="L62" s="64"/>
      <c r="M62" s="64"/>
      <c r="N62" s="64"/>
      <c r="O62" s="64"/>
      <c r="P62" s="74"/>
      <c r="Q62" s="74"/>
      <c r="R62" s="74"/>
      <c r="S62" s="63"/>
    </row>
    <row r="63" spans="2:19" ht="25" customHeight="1" x14ac:dyDescent="0.35">
      <c r="B63" s="70"/>
      <c r="C63" s="71"/>
      <c r="D63" s="71"/>
      <c r="E63" s="88"/>
      <c r="F63" s="71"/>
      <c r="G63" s="71"/>
      <c r="H63" s="63"/>
      <c r="I63" s="63"/>
      <c r="J63" s="63"/>
      <c r="K63" s="64"/>
      <c r="L63" s="64"/>
      <c r="M63" s="64"/>
      <c r="N63" s="64"/>
      <c r="O63" s="64"/>
      <c r="P63" s="74"/>
      <c r="Q63" s="74"/>
      <c r="R63" s="74"/>
      <c r="S63" s="63"/>
    </row>
    <row r="64" spans="2:19" ht="25" customHeight="1" x14ac:dyDescent="0.35">
      <c r="B64" s="70"/>
      <c r="C64" s="71"/>
      <c r="D64" s="71"/>
      <c r="E64" s="88"/>
      <c r="F64" s="71"/>
      <c r="G64" s="71"/>
      <c r="H64" s="63"/>
      <c r="I64" s="63"/>
      <c r="J64" s="63"/>
      <c r="K64" s="64"/>
      <c r="L64" s="64"/>
      <c r="M64" s="64"/>
      <c r="N64" s="64"/>
      <c r="O64" s="64"/>
      <c r="P64" s="74"/>
      <c r="Q64" s="74"/>
      <c r="R64" s="74"/>
      <c r="S64" s="63"/>
    </row>
    <row r="65" spans="2:19" ht="25" customHeight="1" x14ac:dyDescent="0.35">
      <c r="B65" s="70"/>
      <c r="C65" s="71"/>
      <c r="D65" s="71"/>
      <c r="E65" s="88"/>
      <c r="F65" s="71"/>
      <c r="G65" s="71"/>
      <c r="H65" s="63"/>
      <c r="I65" s="63"/>
      <c r="J65" s="63"/>
      <c r="K65" s="64"/>
      <c r="L65" s="64"/>
      <c r="M65" s="64"/>
      <c r="N65" s="64"/>
      <c r="O65" s="64"/>
      <c r="P65" s="74"/>
      <c r="Q65" s="74"/>
      <c r="R65" s="74"/>
      <c r="S65" s="63"/>
    </row>
    <row r="66" spans="2:19" ht="25" customHeight="1" x14ac:dyDescent="0.35">
      <c r="B66" s="70"/>
      <c r="C66" s="71"/>
      <c r="D66" s="71"/>
      <c r="E66" s="88"/>
      <c r="F66" s="71"/>
      <c r="G66" s="71"/>
      <c r="H66" s="63"/>
      <c r="I66" s="63"/>
      <c r="J66" s="63"/>
      <c r="K66" s="64"/>
      <c r="L66" s="64"/>
      <c r="M66" s="64"/>
      <c r="N66" s="64"/>
      <c r="O66" s="64"/>
      <c r="P66" s="74"/>
      <c r="Q66" s="74"/>
      <c r="R66" s="74"/>
      <c r="S66" s="63"/>
    </row>
    <row r="67" spans="2:19" ht="25" customHeight="1" x14ac:dyDescent="0.35">
      <c r="B67" s="70"/>
      <c r="C67" s="71"/>
      <c r="D67" s="71"/>
      <c r="E67" s="88"/>
      <c r="F67" s="71"/>
      <c r="G67" s="71"/>
      <c r="H67" s="63"/>
      <c r="I67" s="63"/>
      <c r="J67" s="63"/>
      <c r="K67" s="64"/>
      <c r="L67" s="64"/>
      <c r="M67" s="64"/>
      <c r="N67" s="64"/>
      <c r="O67" s="64"/>
      <c r="P67" s="74"/>
      <c r="Q67" s="74"/>
      <c r="R67" s="74"/>
      <c r="S67" s="63"/>
    </row>
    <row r="68" spans="2:19" ht="25" customHeight="1" x14ac:dyDescent="0.35">
      <c r="B68" s="70"/>
      <c r="C68" s="71"/>
      <c r="D68" s="71"/>
      <c r="E68" s="88"/>
      <c r="F68" s="71"/>
      <c r="G68" s="71"/>
      <c r="H68" s="63"/>
      <c r="I68" s="63"/>
      <c r="J68" s="63"/>
      <c r="K68" s="64"/>
      <c r="L68" s="64"/>
      <c r="M68" s="64"/>
      <c r="N68" s="64"/>
      <c r="O68" s="64"/>
      <c r="P68" s="74"/>
      <c r="Q68" s="74"/>
      <c r="R68" s="74"/>
      <c r="S68" s="63"/>
    </row>
    <row r="69" spans="2:19" ht="25" customHeight="1" x14ac:dyDescent="0.35">
      <c r="B69" s="70"/>
      <c r="C69" s="71"/>
      <c r="D69" s="71"/>
      <c r="E69" s="88"/>
      <c r="F69" s="71"/>
      <c r="G69" s="71"/>
      <c r="H69" s="63"/>
      <c r="I69" s="63"/>
      <c r="J69" s="63"/>
      <c r="K69" s="64"/>
      <c r="L69" s="64"/>
      <c r="M69" s="64"/>
      <c r="N69" s="64"/>
      <c r="O69" s="64"/>
      <c r="P69" s="74"/>
      <c r="Q69" s="74"/>
      <c r="R69" s="74"/>
      <c r="S69" s="63"/>
    </row>
    <row r="70" spans="2:19" ht="25" customHeight="1" x14ac:dyDescent="0.35">
      <c r="B70" s="70"/>
      <c r="C70" s="71"/>
      <c r="D70" s="71"/>
      <c r="E70" s="88"/>
      <c r="F70" s="71"/>
      <c r="G70" s="71"/>
      <c r="H70" s="63"/>
      <c r="I70" s="63"/>
      <c r="J70" s="63"/>
      <c r="K70" s="64"/>
      <c r="L70" s="64"/>
      <c r="M70" s="64"/>
      <c r="N70" s="64"/>
      <c r="O70" s="64"/>
      <c r="P70" s="74"/>
      <c r="Q70" s="74"/>
      <c r="R70" s="74"/>
      <c r="S70" s="63"/>
    </row>
    <row r="71" spans="2:19" ht="25" customHeight="1" x14ac:dyDescent="0.35">
      <c r="B71" s="70"/>
      <c r="C71" s="71"/>
      <c r="D71" s="71"/>
      <c r="E71" s="88"/>
      <c r="F71" s="71"/>
      <c r="G71" s="71"/>
      <c r="H71" s="63"/>
      <c r="I71" s="63"/>
      <c r="J71" s="63"/>
      <c r="K71" s="64"/>
      <c r="L71" s="64"/>
      <c r="M71" s="64"/>
      <c r="N71" s="64"/>
      <c r="O71" s="64"/>
      <c r="P71" s="74"/>
      <c r="Q71" s="74"/>
      <c r="R71" s="74"/>
      <c r="S71" s="63"/>
    </row>
    <row r="72" spans="2:19" ht="25" customHeight="1" x14ac:dyDescent="0.35">
      <c r="B72" s="70"/>
      <c r="C72" s="71"/>
      <c r="D72" s="71"/>
      <c r="E72" s="88"/>
      <c r="F72" s="71"/>
      <c r="G72" s="71"/>
      <c r="H72" s="63"/>
      <c r="I72" s="63"/>
      <c r="J72" s="63"/>
      <c r="K72" s="64"/>
      <c r="L72" s="64"/>
      <c r="M72" s="64"/>
      <c r="N72" s="64"/>
      <c r="O72" s="64"/>
      <c r="P72" s="74"/>
      <c r="Q72" s="74"/>
      <c r="R72" s="74"/>
      <c r="S72" s="63"/>
    </row>
    <row r="73" spans="2:19" ht="25" customHeight="1" x14ac:dyDescent="0.35">
      <c r="B73" s="70"/>
      <c r="C73" s="71"/>
      <c r="D73" s="71"/>
      <c r="E73" s="88"/>
      <c r="F73" s="71"/>
      <c r="G73" s="71"/>
      <c r="H73" s="63"/>
      <c r="I73" s="63"/>
      <c r="J73" s="63"/>
      <c r="K73" s="64"/>
      <c r="L73" s="64"/>
      <c r="M73" s="64"/>
      <c r="N73" s="64"/>
      <c r="O73" s="64"/>
      <c r="P73" s="74"/>
      <c r="Q73" s="74"/>
      <c r="R73" s="74"/>
      <c r="S73" s="63"/>
    </row>
    <row r="74" spans="2:19" ht="25" customHeight="1" x14ac:dyDescent="0.35">
      <c r="B74" s="70"/>
      <c r="C74" s="71"/>
      <c r="D74" s="71"/>
      <c r="E74" s="88"/>
      <c r="F74" s="71"/>
      <c r="G74" s="71"/>
      <c r="H74" s="63"/>
      <c r="I74" s="63"/>
      <c r="J74" s="63"/>
      <c r="K74" s="64"/>
      <c r="L74" s="64"/>
      <c r="M74" s="64"/>
      <c r="N74" s="64"/>
      <c r="O74" s="64"/>
      <c r="P74" s="74"/>
      <c r="Q74" s="74"/>
      <c r="R74" s="74"/>
      <c r="S74" s="63"/>
    </row>
    <row r="75" spans="2:19" ht="25" customHeight="1" x14ac:dyDescent="0.35">
      <c r="B75" s="70"/>
      <c r="C75" s="71"/>
      <c r="D75" s="71"/>
      <c r="E75" s="88"/>
      <c r="F75" s="71"/>
      <c r="G75" s="71"/>
      <c r="H75" s="63"/>
      <c r="I75" s="63"/>
      <c r="J75" s="63"/>
      <c r="K75" s="64"/>
      <c r="L75" s="64"/>
      <c r="M75" s="64"/>
      <c r="N75" s="64"/>
      <c r="O75" s="64"/>
      <c r="P75" s="74"/>
      <c r="Q75" s="74"/>
      <c r="R75" s="74"/>
      <c r="S75" s="63"/>
    </row>
    <row r="76" spans="2:19" ht="25" customHeight="1" x14ac:dyDescent="0.35">
      <c r="B76" s="70"/>
      <c r="C76" s="71"/>
      <c r="D76" s="71"/>
      <c r="E76" s="88"/>
      <c r="F76" s="71"/>
      <c r="G76" s="71"/>
      <c r="H76" s="63"/>
      <c r="I76" s="63"/>
      <c r="J76" s="63"/>
      <c r="K76" s="64"/>
      <c r="L76" s="64"/>
      <c r="M76" s="64"/>
      <c r="N76" s="64"/>
      <c r="O76" s="64"/>
      <c r="P76" s="74"/>
      <c r="Q76" s="74"/>
      <c r="R76" s="74"/>
      <c r="S76" s="63"/>
    </row>
    <row r="77" spans="2:19" ht="25" customHeight="1" x14ac:dyDescent="0.35">
      <c r="B77" s="70"/>
      <c r="C77" s="71"/>
      <c r="D77" s="71"/>
      <c r="E77" s="88"/>
      <c r="F77" s="71"/>
      <c r="G77" s="71"/>
      <c r="H77" s="63"/>
      <c r="I77" s="63"/>
      <c r="J77" s="63"/>
      <c r="K77" s="64"/>
      <c r="L77" s="64"/>
      <c r="M77" s="64"/>
      <c r="N77" s="64"/>
      <c r="O77" s="64"/>
      <c r="P77" s="74"/>
      <c r="Q77" s="74"/>
      <c r="R77" s="74"/>
      <c r="S77" s="63"/>
    </row>
    <row r="78" spans="2:19" ht="25" customHeight="1" x14ac:dyDescent="0.35">
      <c r="B78" s="70"/>
      <c r="C78" s="71"/>
      <c r="D78" s="71"/>
      <c r="E78" s="88"/>
      <c r="F78" s="71"/>
      <c r="G78" s="71"/>
      <c r="H78" s="63"/>
      <c r="I78" s="63"/>
      <c r="J78" s="63"/>
      <c r="K78" s="64"/>
      <c r="L78" s="64"/>
      <c r="M78" s="64"/>
      <c r="N78" s="64"/>
      <c r="O78" s="64"/>
      <c r="P78" s="74"/>
      <c r="Q78" s="74"/>
      <c r="R78" s="74"/>
      <c r="S78" s="63"/>
    </row>
    <row r="79" spans="2:19" ht="25" customHeight="1" x14ac:dyDescent="0.35">
      <c r="B79" s="70"/>
      <c r="C79" s="71"/>
      <c r="D79" s="71"/>
      <c r="E79" s="88"/>
      <c r="F79" s="71"/>
      <c r="G79" s="71"/>
      <c r="H79" s="63"/>
      <c r="I79" s="63"/>
      <c r="J79" s="63"/>
      <c r="K79" s="64"/>
      <c r="L79" s="64"/>
      <c r="M79" s="64"/>
      <c r="N79" s="64"/>
      <c r="O79" s="64"/>
      <c r="P79" s="74"/>
      <c r="Q79" s="74"/>
      <c r="R79" s="74"/>
      <c r="S79" s="63"/>
    </row>
    <row r="80" spans="2:19" ht="25" customHeight="1" x14ac:dyDescent="0.35">
      <c r="B80" s="70"/>
      <c r="C80" s="71"/>
      <c r="D80" s="71"/>
      <c r="E80" s="88"/>
      <c r="F80" s="71"/>
      <c r="G80" s="71"/>
      <c r="H80" s="63"/>
      <c r="I80" s="63"/>
      <c r="J80" s="63"/>
      <c r="K80" s="64"/>
      <c r="L80" s="64"/>
      <c r="M80" s="64"/>
      <c r="N80" s="64"/>
      <c r="O80" s="64"/>
      <c r="P80" s="74"/>
      <c r="Q80" s="74"/>
      <c r="R80" s="74"/>
      <c r="S80" s="63"/>
    </row>
    <row r="81" spans="2:19" ht="25" customHeight="1" x14ac:dyDescent="0.35">
      <c r="B81" s="70"/>
      <c r="C81" s="71"/>
      <c r="D81" s="71"/>
      <c r="E81" s="88"/>
      <c r="F81" s="71"/>
      <c r="G81" s="71"/>
      <c r="H81" s="63"/>
      <c r="I81" s="63"/>
      <c r="J81" s="63"/>
      <c r="K81" s="64"/>
      <c r="L81" s="64"/>
      <c r="M81" s="64"/>
      <c r="N81" s="64"/>
      <c r="O81" s="64"/>
      <c r="P81" s="74"/>
      <c r="Q81" s="74"/>
      <c r="R81" s="74"/>
      <c r="S81" s="63"/>
    </row>
    <row r="82" spans="2:19" ht="25" customHeight="1" x14ac:dyDescent="0.35">
      <c r="B82" s="70"/>
      <c r="C82" s="71"/>
      <c r="D82" s="71"/>
      <c r="E82" s="88"/>
      <c r="F82" s="71"/>
      <c r="G82" s="71"/>
      <c r="H82" s="63"/>
      <c r="I82" s="63"/>
      <c r="J82" s="63"/>
      <c r="K82" s="64"/>
      <c r="L82" s="64"/>
      <c r="M82" s="64"/>
      <c r="N82" s="64"/>
      <c r="O82" s="64"/>
      <c r="P82" s="74"/>
      <c r="Q82" s="74"/>
      <c r="R82" s="74"/>
      <c r="S82" s="63"/>
    </row>
    <row r="83" spans="2:19" ht="25" customHeight="1" x14ac:dyDescent="0.35">
      <c r="B83" s="70"/>
      <c r="C83" s="71"/>
      <c r="D83" s="71"/>
      <c r="E83" s="88"/>
      <c r="F83" s="71"/>
      <c r="G83" s="71"/>
      <c r="H83" s="63"/>
      <c r="I83" s="63"/>
      <c r="J83" s="63"/>
      <c r="K83" s="64"/>
      <c r="L83" s="64"/>
      <c r="M83" s="64"/>
      <c r="N83" s="64"/>
      <c r="O83" s="64"/>
      <c r="P83" s="74"/>
      <c r="Q83" s="74"/>
      <c r="R83" s="74"/>
      <c r="S83" s="63"/>
    </row>
    <row r="84" spans="2:19" ht="25" customHeight="1" x14ac:dyDescent="0.35">
      <c r="B84" s="70"/>
      <c r="C84" s="71"/>
      <c r="D84" s="71"/>
      <c r="E84" s="88"/>
      <c r="F84" s="71"/>
      <c r="G84" s="71"/>
      <c r="H84" s="63"/>
      <c r="I84" s="63"/>
      <c r="J84" s="63"/>
      <c r="K84" s="64"/>
      <c r="L84" s="64"/>
      <c r="M84" s="64"/>
      <c r="N84" s="64"/>
      <c r="O84" s="64"/>
      <c r="P84" s="74"/>
      <c r="Q84" s="74"/>
      <c r="R84" s="74"/>
      <c r="S84" s="63"/>
    </row>
    <row r="85" spans="2:19" ht="25" customHeight="1" x14ac:dyDescent="0.35">
      <c r="B85" s="70"/>
      <c r="C85" s="71"/>
      <c r="D85" s="71"/>
      <c r="E85" s="88"/>
      <c r="F85" s="71"/>
      <c r="G85" s="71"/>
      <c r="H85" s="63"/>
      <c r="I85" s="63"/>
      <c r="J85" s="63"/>
      <c r="K85" s="64"/>
      <c r="L85" s="64"/>
      <c r="M85" s="64"/>
      <c r="N85" s="64"/>
      <c r="O85" s="64"/>
      <c r="P85" s="74"/>
      <c r="Q85" s="74"/>
      <c r="R85" s="74"/>
      <c r="S85" s="63"/>
    </row>
    <row r="86" spans="2:19" ht="25" customHeight="1" x14ac:dyDescent="0.35">
      <c r="B86" s="70"/>
      <c r="C86" s="71"/>
      <c r="D86" s="71"/>
      <c r="E86" s="88"/>
      <c r="F86" s="71"/>
      <c r="G86" s="71"/>
      <c r="H86" s="63"/>
      <c r="I86" s="63"/>
      <c r="J86" s="63"/>
      <c r="K86" s="64"/>
      <c r="L86" s="64"/>
      <c r="M86" s="64"/>
      <c r="N86" s="64"/>
      <c r="O86" s="64"/>
      <c r="P86" s="74"/>
      <c r="Q86" s="74"/>
      <c r="R86" s="74"/>
      <c r="S86" s="63"/>
    </row>
    <row r="87" spans="2:19" ht="25" customHeight="1" x14ac:dyDescent="0.35">
      <c r="B87" s="70"/>
      <c r="C87" s="71"/>
      <c r="D87" s="71"/>
      <c r="E87" s="88"/>
      <c r="F87" s="71"/>
      <c r="G87" s="71"/>
      <c r="H87" s="63"/>
      <c r="I87" s="63"/>
      <c r="J87" s="63"/>
      <c r="K87" s="64"/>
      <c r="L87" s="64"/>
      <c r="M87" s="64"/>
      <c r="N87" s="64"/>
      <c r="O87" s="64"/>
      <c r="P87" s="74"/>
      <c r="Q87" s="74"/>
      <c r="R87" s="74"/>
      <c r="S87" s="63"/>
    </row>
    <row r="88" spans="2:19" ht="25" customHeight="1" x14ac:dyDescent="0.35">
      <c r="B88" s="70"/>
      <c r="C88" s="71"/>
      <c r="D88" s="71"/>
      <c r="E88" s="88"/>
      <c r="F88" s="71"/>
      <c r="G88" s="71"/>
      <c r="H88" s="63"/>
      <c r="I88" s="63"/>
      <c r="J88" s="63"/>
      <c r="K88" s="64"/>
      <c r="L88" s="64"/>
      <c r="M88" s="64"/>
      <c r="N88" s="64"/>
      <c r="O88" s="64"/>
      <c r="P88" s="74"/>
      <c r="Q88" s="74"/>
      <c r="R88" s="74"/>
      <c r="S88" s="63"/>
    </row>
    <row r="89" spans="2:19" ht="25" customHeight="1" x14ac:dyDescent="0.35">
      <c r="B89" s="70"/>
      <c r="C89" s="71"/>
      <c r="D89" s="71"/>
      <c r="E89" s="88"/>
      <c r="F89" s="71"/>
      <c r="G89" s="71"/>
      <c r="H89" s="63"/>
      <c r="I89" s="63"/>
      <c r="J89" s="63"/>
      <c r="K89" s="64"/>
      <c r="L89" s="64"/>
      <c r="M89" s="64"/>
      <c r="N89" s="64"/>
      <c r="O89" s="64"/>
      <c r="P89" s="74"/>
      <c r="Q89" s="74"/>
      <c r="R89" s="74"/>
      <c r="S89" s="63"/>
    </row>
    <row r="90" spans="2:19" ht="25" customHeight="1" x14ac:dyDescent="0.35">
      <c r="B90" s="70"/>
      <c r="C90" s="71"/>
      <c r="D90" s="71"/>
      <c r="E90" s="88"/>
      <c r="F90" s="71"/>
      <c r="G90" s="71"/>
      <c r="H90" s="63"/>
      <c r="I90" s="63"/>
      <c r="J90" s="63"/>
      <c r="K90" s="64"/>
      <c r="L90" s="64"/>
      <c r="M90" s="64"/>
      <c r="N90" s="64"/>
      <c r="O90" s="64"/>
      <c r="P90" s="74"/>
      <c r="Q90" s="74"/>
      <c r="R90" s="74"/>
      <c r="S90" s="63"/>
    </row>
    <row r="91" spans="2:19" ht="25" customHeight="1" x14ac:dyDescent="0.35">
      <c r="B91" s="70"/>
      <c r="C91" s="71"/>
      <c r="D91" s="71"/>
      <c r="E91" s="88"/>
      <c r="F91" s="71"/>
      <c r="G91" s="71"/>
      <c r="H91" s="63"/>
      <c r="I91" s="63"/>
      <c r="J91" s="63"/>
      <c r="K91" s="64"/>
      <c r="L91" s="64"/>
      <c r="M91" s="64"/>
      <c r="N91" s="64"/>
      <c r="O91" s="64"/>
      <c r="P91" s="74"/>
      <c r="Q91" s="74"/>
      <c r="R91" s="74"/>
      <c r="S91" s="63"/>
    </row>
    <row r="92" spans="2:19" ht="25" customHeight="1" x14ac:dyDescent="0.35">
      <c r="B92" s="70"/>
      <c r="C92" s="71"/>
      <c r="D92" s="71"/>
      <c r="E92" s="88"/>
      <c r="F92" s="71"/>
      <c r="G92" s="71"/>
      <c r="H92" s="63"/>
      <c r="I92" s="63"/>
      <c r="J92" s="63"/>
      <c r="K92" s="64"/>
      <c r="L92" s="64"/>
      <c r="M92" s="64"/>
      <c r="N92" s="64"/>
      <c r="O92" s="64"/>
      <c r="P92" s="74"/>
      <c r="Q92" s="74"/>
      <c r="R92" s="74"/>
      <c r="S92" s="63"/>
    </row>
    <row r="93" spans="2:19" ht="25" customHeight="1" x14ac:dyDescent="0.35">
      <c r="B93" s="70"/>
      <c r="C93" s="71"/>
      <c r="D93" s="71"/>
      <c r="E93" s="88"/>
      <c r="F93" s="71"/>
      <c r="G93" s="71"/>
      <c r="H93" s="63"/>
      <c r="I93" s="63"/>
      <c r="J93" s="63"/>
      <c r="K93" s="64"/>
      <c r="L93" s="64"/>
      <c r="M93" s="64"/>
      <c r="N93" s="64"/>
      <c r="O93" s="64"/>
      <c r="P93" s="74"/>
      <c r="Q93" s="74"/>
      <c r="R93" s="74"/>
      <c r="S93" s="63"/>
    </row>
    <row r="94" spans="2:19" ht="25" customHeight="1" x14ac:dyDescent="0.35">
      <c r="B94" s="70"/>
      <c r="C94" s="71"/>
      <c r="D94" s="71"/>
      <c r="E94" s="88"/>
      <c r="F94" s="71"/>
      <c r="G94" s="71"/>
      <c r="H94" s="63"/>
      <c r="I94" s="63"/>
      <c r="J94" s="63"/>
      <c r="K94" s="64"/>
      <c r="L94" s="64"/>
      <c r="M94" s="64"/>
      <c r="N94" s="64"/>
      <c r="O94" s="64"/>
      <c r="P94" s="74"/>
      <c r="Q94" s="74"/>
      <c r="R94" s="74"/>
      <c r="S94" s="63"/>
    </row>
    <row r="95" spans="2:19" ht="25" customHeight="1" x14ac:dyDescent="0.35">
      <c r="B95" s="70"/>
      <c r="C95" s="71"/>
      <c r="D95" s="71"/>
      <c r="E95" s="88"/>
      <c r="F95" s="71"/>
      <c r="G95" s="71"/>
      <c r="H95" s="63"/>
      <c r="I95" s="63"/>
      <c r="J95" s="63"/>
      <c r="K95" s="64"/>
      <c r="L95" s="64"/>
      <c r="M95" s="64"/>
      <c r="N95" s="64"/>
      <c r="O95" s="64"/>
      <c r="P95" s="74"/>
      <c r="Q95" s="74"/>
      <c r="R95" s="74"/>
      <c r="S95" s="63"/>
    </row>
    <row r="96" spans="2:19" ht="25" customHeight="1" x14ac:dyDescent="0.35">
      <c r="B96" s="70"/>
      <c r="C96" s="71"/>
      <c r="D96" s="71"/>
      <c r="E96" s="88"/>
      <c r="F96" s="71"/>
      <c r="G96" s="71"/>
      <c r="H96" s="63"/>
      <c r="I96" s="63"/>
      <c r="J96" s="63"/>
      <c r="K96" s="64"/>
      <c r="L96" s="64"/>
      <c r="M96" s="64"/>
      <c r="N96" s="64"/>
      <c r="O96" s="64"/>
      <c r="P96" s="74"/>
      <c r="Q96" s="74"/>
      <c r="R96" s="74"/>
      <c r="S96" s="63"/>
    </row>
    <row r="97" spans="2:19" ht="25" customHeight="1" x14ac:dyDescent="0.35">
      <c r="B97" s="70"/>
      <c r="C97" s="71"/>
      <c r="D97" s="71"/>
      <c r="E97" s="88"/>
      <c r="F97" s="71"/>
      <c r="G97" s="71"/>
      <c r="H97" s="63"/>
      <c r="I97" s="63"/>
      <c r="J97" s="63"/>
      <c r="K97" s="64"/>
      <c r="L97" s="64"/>
      <c r="M97" s="64"/>
      <c r="N97" s="64"/>
      <c r="O97" s="64"/>
      <c r="P97" s="74"/>
      <c r="Q97" s="74"/>
      <c r="R97" s="74"/>
      <c r="S97" s="63"/>
    </row>
    <row r="98" spans="2:19" ht="25" customHeight="1" x14ac:dyDescent="0.35">
      <c r="B98" s="70"/>
      <c r="C98" s="71"/>
      <c r="D98" s="71"/>
      <c r="E98" s="88"/>
      <c r="F98" s="71"/>
      <c r="G98" s="71"/>
      <c r="H98" s="63"/>
      <c r="I98" s="63"/>
      <c r="J98" s="63"/>
      <c r="K98" s="64"/>
      <c r="L98" s="64"/>
      <c r="M98" s="64"/>
      <c r="N98" s="64"/>
      <c r="O98" s="64"/>
      <c r="P98" s="74"/>
      <c r="Q98" s="74"/>
      <c r="R98" s="74"/>
      <c r="S98" s="63"/>
    </row>
    <row r="99" spans="2:19" ht="25" customHeight="1" x14ac:dyDescent="0.35">
      <c r="B99" s="70"/>
      <c r="C99" s="71"/>
      <c r="D99" s="71"/>
      <c r="E99" s="88"/>
      <c r="F99" s="71"/>
      <c r="G99" s="71"/>
      <c r="H99" s="63"/>
      <c r="I99" s="63"/>
      <c r="J99" s="63"/>
      <c r="K99" s="64"/>
      <c r="L99" s="64"/>
      <c r="M99" s="64"/>
      <c r="N99" s="64"/>
      <c r="O99" s="64"/>
      <c r="P99" s="74"/>
      <c r="Q99" s="74"/>
      <c r="R99" s="74"/>
      <c r="S99" s="63"/>
    </row>
    <row r="100" spans="2:19" ht="25" customHeight="1" x14ac:dyDescent="0.35">
      <c r="B100" s="70"/>
      <c r="C100" s="71"/>
      <c r="D100" s="71"/>
      <c r="E100" s="88"/>
      <c r="F100" s="71"/>
      <c r="G100" s="71"/>
      <c r="H100" s="63"/>
      <c r="I100" s="63"/>
      <c r="J100" s="63"/>
      <c r="K100" s="64"/>
      <c r="L100" s="64"/>
      <c r="M100" s="64"/>
      <c r="N100" s="64"/>
      <c r="O100" s="64"/>
      <c r="P100" s="74"/>
      <c r="Q100" s="74"/>
      <c r="R100" s="74"/>
      <c r="S100" s="63"/>
    </row>
    <row r="101" spans="2:19" ht="25" customHeight="1" x14ac:dyDescent="0.35">
      <c r="B101" s="70"/>
      <c r="C101" s="71"/>
      <c r="D101" s="71"/>
      <c r="E101" s="88"/>
      <c r="F101" s="71"/>
      <c r="G101" s="71"/>
      <c r="H101" s="63"/>
      <c r="I101" s="63"/>
      <c r="J101" s="63"/>
      <c r="K101" s="64"/>
      <c r="L101" s="64"/>
      <c r="M101" s="64"/>
      <c r="N101" s="64"/>
      <c r="O101" s="64"/>
      <c r="P101" s="74"/>
      <c r="Q101" s="74"/>
      <c r="R101" s="74"/>
      <c r="S101" s="63"/>
    </row>
    <row r="102" spans="2:19" ht="25" customHeight="1" x14ac:dyDescent="0.35">
      <c r="B102" s="70"/>
      <c r="C102" s="71"/>
      <c r="D102" s="71"/>
      <c r="E102" s="88"/>
      <c r="F102" s="71"/>
      <c r="G102" s="71"/>
      <c r="H102" s="63"/>
      <c r="I102" s="63"/>
      <c r="J102" s="63"/>
      <c r="K102" s="64"/>
      <c r="L102" s="64"/>
      <c r="M102" s="64"/>
      <c r="N102" s="64"/>
      <c r="O102" s="64"/>
      <c r="P102" s="74"/>
      <c r="Q102" s="74"/>
      <c r="R102" s="74"/>
      <c r="S102" s="63"/>
    </row>
    <row r="103" spans="2:19" ht="25" customHeight="1" x14ac:dyDescent="0.35">
      <c r="B103" s="70"/>
      <c r="C103" s="71"/>
      <c r="D103" s="71"/>
      <c r="E103" s="88"/>
      <c r="F103" s="71"/>
      <c r="G103" s="71"/>
      <c r="H103" s="63"/>
      <c r="I103" s="63"/>
      <c r="J103" s="63"/>
      <c r="K103" s="64"/>
      <c r="L103" s="64"/>
      <c r="M103" s="64"/>
      <c r="N103" s="64"/>
      <c r="O103" s="64"/>
      <c r="P103" s="74"/>
      <c r="Q103" s="74"/>
      <c r="R103" s="74"/>
      <c r="S103" s="63"/>
    </row>
    <row r="104" spans="2:19" ht="25" customHeight="1" x14ac:dyDescent="0.35">
      <c r="B104" s="70"/>
      <c r="C104" s="71"/>
      <c r="D104" s="71"/>
      <c r="E104" s="88"/>
      <c r="F104" s="71"/>
      <c r="G104" s="71"/>
      <c r="H104" s="63"/>
      <c r="I104" s="63"/>
      <c r="J104" s="63"/>
      <c r="K104" s="64"/>
      <c r="L104" s="64"/>
      <c r="M104" s="64"/>
      <c r="N104" s="64"/>
      <c r="O104" s="64"/>
      <c r="P104" s="74"/>
      <c r="Q104" s="74"/>
      <c r="R104" s="74"/>
      <c r="S104" s="63"/>
    </row>
    <row r="105" spans="2:19" ht="25" customHeight="1" x14ac:dyDescent="0.35">
      <c r="B105" s="70"/>
      <c r="C105" s="71"/>
      <c r="D105" s="71"/>
      <c r="E105" s="88"/>
      <c r="F105" s="71"/>
      <c r="G105" s="71"/>
      <c r="H105" s="63"/>
      <c r="I105" s="63"/>
      <c r="J105" s="63"/>
      <c r="K105" s="64"/>
      <c r="L105" s="64"/>
      <c r="M105" s="64"/>
      <c r="N105" s="64"/>
      <c r="O105" s="64"/>
      <c r="P105" s="74"/>
      <c r="Q105" s="74"/>
      <c r="R105" s="74"/>
      <c r="S105" s="63"/>
    </row>
    <row r="106" spans="2:19" ht="25" customHeight="1" x14ac:dyDescent="0.35">
      <c r="B106" s="70"/>
      <c r="C106" s="71"/>
      <c r="D106" s="71"/>
      <c r="E106" s="88"/>
      <c r="F106" s="71"/>
      <c r="G106" s="71"/>
      <c r="H106" s="63"/>
      <c r="I106" s="63"/>
      <c r="J106" s="63"/>
      <c r="K106" s="64"/>
      <c r="L106" s="64"/>
      <c r="M106" s="64"/>
      <c r="N106" s="64"/>
      <c r="O106" s="64"/>
      <c r="P106" s="74"/>
      <c r="Q106" s="74"/>
      <c r="R106" s="74"/>
      <c r="S106" s="63"/>
    </row>
    <row r="107" spans="2:19" ht="25" customHeight="1" x14ac:dyDescent="0.35">
      <c r="B107" s="70"/>
      <c r="C107" s="71"/>
      <c r="D107" s="71"/>
      <c r="E107" s="88"/>
      <c r="F107" s="71"/>
      <c r="G107" s="71"/>
      <c r="H107" s="63"/>
      <c r="I107" s="63"/>
      <c r="J107" s="63"/>
      <c r="K107" s="64"/>
      <c r="L107" s="64"/>
      <c r="M107" s="64"/>
      <c r="N107" s="64"/>
      <c r="O107" s="64"/>
      <c r="P107" s="74"/>
      <c r="Q107" s="74"/>
      <c r="R107" s="74"/>
      <c r="S107" s="63"/>
    </row>
    <row r="108" spans="2:19" ht="25" customHeight="1" x14ac:dyDescent="0.35">
      <c r="B108" s="70"/>
      <c r="C108" s="71"/>
      <c r="D108" s="71"/>
      <c r="E108" s="88"/>
      <c r="F108" s="71"/>
      <c r="G108" s="71"/>
      <c r="H108" s="63"/>
      <c r="I108" s="63"/>
      <c r="J108" s="63"/>
      <c r="K108" s="64"/>
      <c r="L108" s="64"/>
      <c r="M108" s="64"/>
      <c r="N108" s="64"/>
      <c r="O108" s="64"/>
      <c r="P108" s="74"/>
      <c r="Q108" s="74"/>
      <c r="R108" s="74"/>
      <c r="S108" s="63"/>
    </row>
    <row r="109" spans="2:19" ht="25" customHeight="1" x14ac:dyDescent="0.35">
      <c r="B109" s="70"/>
      <c r="C109" s="71"/>
      <c r="D109" s="71"/>
      <c r="E109" s="88"/>
      <c r="F109" s="71"/>
      <c r="G109" s="71"/>
      <c r="H109" s="63"/>
      <c r="I109" s="63"/>
      <c r="J109" s="63"/>
      <c r="K109" s="64"/>
      <c r="L109" s="64"/>
      <c r="M109" s="64"/>
      <c r="N109" s="64"/>
      <c r="O109" s="64"/>
      <c r="P109" s="74"/>
      <c r="Q109" s="74"/>
      <c r="R109" s="74"/>
      <c r="S109" s="63"/>
    </row>
    <row r="110" spans="2:19" ht="25" customHeight="1" x14ac:dyDescent="0.35">
      <c r="B110" s="70"/>
      <c r="C110" s="71"/>
      <c r="D110" s="71"/>
      <c r="E110" s="88"/>
      <c r="F110" s="71"/>
      <c r="G110" s="71"/>
      <c r="H110" s="63"/>
      <c r="I110" s="63"/>
      <c r="J110" s="63"/>
      <c r="K110" s="64"/>
      <c r="L110" s="64"/>
      <c r="M110" s="64"/>
      <c r="N110" s="64"/>
      <c r="O110" s="64"/>
      <c r="P110" s="74"/>
      <c r="Q110" s="74"/>
      <c r="R110" s="74"/>
      <c r="S110" s="63"/>
    </row>
    <row r="111" spans="2:19" ht="25" customHeight="1" x14ac:dyDescent="0.35">
      <c r="B111" s="70"/>
      <c r="C111" s="71"/>
      <c r="D111" s="71"/>
      <c r="E111" s="88"/>
      <c r="F111" s="71"/>
      <c r="G111" s="71"/>
      <c r="H111" s="63"/>
      <c r="I111" s="63"/>
      <c r="J111" s="63"/>
      <c r="K111" s="64"/>
      <c r="L111" s="64"/>
      <c r="M111" s="64"/>
      <c r="N111" s="64"/>
      <c r="O111" s="64"/>
      <c r="P111" s="74"/>
      <c r="Q111" s="74"/>
      <c r="R111" s="74"/>
      <c r="S111" s="63"/>
    </row>
    <row r="112" spans="2:19" ht="25" customHeight="1" x14ac:dyDescent="0.35">
      <c r="B112" s="70"/>
      <c r="C112" s="71"/>
      <c r="D112" s="71"/>
      <c r="E112" s="88"/>
      <c r="F112" s="71"/>
      <c r="G112" s="71"/>
      <c r="H112" s="63"/>
      <c r="I112" s="63"/>
      <c r="J112" s="63"/>
      <c r="K112" s="64"/>
      <c r="L112" s="64"/>
      <c r="M112" s="64"/>
      <c r="N112" s="64"/>
      <c r="O112" s="64"/>
      <c r="P112" s="74"/>
      <c r="Q112" s="74"/>
      <c r="R112" s="74"/>
      <c r="S112" s="63"/>
    </row>
    <row r="113" spans="2:19" ht="25" customHeight="1" x14ac:dyDescent="0.35">
      <c r="B113" s="70"/>
      <c r="C113" s="71"/>
      <c r="D113" s="71"/>
      <c r="E113" s="88"/>
      <c r="F113" s="71"/>
      <c r="G113" s="71"/>
      <c r="H113" s="63"/>
      <c r="I113" s="63"/>
      <c r="J113" s="63"/>
      <c r="K113" s="64"/>
      <c r="L113" s="64"/>
      <c r="M113" s="64"/>
      <c r="N113" s="64"/>
      <c r="O113" s="64"/>
      <c r="P113" s="74"/>
      <c r="Q113" s="74"/>
      <c r="R113" s="74"/>
      <c r="S113" s="63"/>
    </row>
    <row r="114" spans="2:19" ht="25" customHeight="1" x14ac:dyDescent="0.35">
      <c r="B114" s="70"/>
      <c r="C114" s="71"/>
      <c r="D114" s="71"/>
      <c r="E114" s="88"/>
      <c r="F114" s="71"/>
      <c r="G114" s="71"/>
      <c r="H114" s="63"/>
      <c r="I114" s="63"/>
      <c r="J114" s="63"/>
      <c r="K114" s="64"/>
      <c r="L114" s="64"/>
      <c r="M114" s="64"/>
      <c r="N114" s="64"/>
      <c r="O114" s="64"/>
      <c r="P114" s="74"/>
      <c r="Q114" s="74"/>
      <c r="R114" s="74"/>
      <c r="S114" s="63"/>
    </row>
    <row r="115" spans="2:19" ht="25" customHeight="1" x14ac:dyDescent="0.35">
      <c r="B115" s="70"/>
      <c r="C115" s="71"/>
      <c r="D115" s="71"/>
      <c r="E115" s="88"/>
      <c r="F115" s="71"/>
      <c r="G115" s="71"/>
      <c r="H115" s="63"/>
      <c r="I115" s="63"/>
      <c r="J115" s="63"/>
      <c r="K115" s="64"/>
      <c r="L115" s="64"/>
      <c r="M115" s="64"/>
      <c r="N115" s="64"/>
      <c r="O115" s="64"/>
      <c r="P115" s="74"/>
      <c r="Q115" s="74"/>
      <c r="R115" s="74"/>
      <c r="S115" s="63"/>
    </row>
    <row r="116" spans="2:19" ht="25" customHeight="1" x14ac:dyDescent="0.35">
      <c r="B116" s="70"/>
      <c r="C116" s="71"/>
      <c r="D116" s="71"/>
      <c r="E116" s="88"/>
      <c r="F116" s="71"/>
      <c r="G116" s="71"/>
      <c r="H116" s="63"/>
      <c r="I116" s="63"/>
      <c r="J116" s="63"/>
      <c r="K116" s="64"/>
      <c r="L116" s="64"/>
      <c r="M116" s="64"/>
      <c r="N116" s="64"/>
      <c r="O116" s="64"/>
      <c r="P116" s="74"/>
      <c r="Q116" s="74"/>
      <c r="R116" s="74"/>
      <c r="S116" s="63"/>
    </row>
    <row r="117" spans="2:19" ht="25" customHeight="1" x14ac:dyDescent="0.35">
      <c r="B117" s="70"/>
      <c r="C117" s="71"/>
      <c r="D117" s="71"/>
      <c r="E117" s="88"/>
      <c r="F117" s="71"/>
      <c r="G117" s="71"/>
      <c r="H117" s="63"/>
      <c r="I117" s="63"/>
      <c r="J117" s="63"/>
      <c r="K117" s="64"/>
      <c r="L117" s="64"/>
      <c r="M117" s="64"/>
      <c r="N117" s="64"/>
      <c r="O117" s="64"/>
      <c r="P117" s="74"/>
      <c r="Q117" s="74"/>
      <c r="R117" s="74"/>
      <c r="S117" s="63"/>
    </row>
    <row r="118" spans="2:19" ht="25" customHeight="1" x14ac:dyDescent="0.35">
      <c r="B118" s="70"/>
      <c r="C118" s="71"/>
      <c r="D118" s="71"/>
      <c r="E118" s="88"/>
      <c r="F118" s="71"/>
      <c r="G118" s="71"/>
      <c r="H118" s="63"/>
      <c r="I118" s="63"/>
      <c r="J118" s="63"/>
      <c r="K118" s="64"/>
      <c r="L118" s="64"/>
      <c r="M118" s="64"/>
      <c r="N118" s="64"/>
      <c r="O118" s="64"/>
      <c r="P118" s="74"/>
      <c r="Q118" s="74"/>
      <c r="R118" s="74"/>
      <c r="S118" s="63"/>
    </row>
    <row r="119" spans="2:19" ht="25" customHeight="1" x14ac:dyDescent="0.35">
      <c r="B119" s="70"/>
      <c r="C119" s="71"/>
      <c r="D119" s="71"/>
      <c r="E119" s="88"/>
      <c r="F119" s="71"/>
      <c r="G119" s="71"/>
      <c r="H119" s="63"/>
      <c r="I119" s="63"/>
      <c r="J119" s="63"/>
      <c r="K119" s="64"/>
      <c r="L119" s="64"/>
      <c r="M119" s="64"/>
      <c r="N119" s="64"/>
      <c r="O119" s="64"/>
      <c r="P119" s="74"/>
      <c r="Q119" s="74"/>
      <c r="R119" s="74"/>
      <c r="S119" s="63"/>
    </row>
    <row r="120" spans="2:19" ht="25" customHeight="1" x14ac:dyDescent="0.35">
      <c r="B120" s="70"/>
      <c r="C120" s="71"/>
      <c r="D120" s="71"/>
      <c r="E120" s="88"/>
      <c r="F120" s="71"/>
      <c r="G120" s="71"/>
      <c r="H120" s="63"/>
      <c r="I120" s="63"/>
      <c r="J120" s="63"/>
      <c r="K120" s="64"/>
      <c r="L120" s="64"/>
      <c r="M120" s="64"/>
      <c r="N120" s="64"/>
      <c r="O120" s="64"/>
      <c r="P120" s="74"/>
      <c r="Q120" s="74"/>
      <c r="R120" s="74"/>
      <c r="S120" s="63"/>
    </row>
    <row r="121" spans="2:19" ht="25" customHeight="1" x14ac:dyDescent="0.35">
      <c r="B121" s="70"/>
      <c r="C121" s="71"/>
      <c r="D121" s="71"/>
      <c r="E121" s="88"/>
      <c r="F121" s="71"/>
      <c r="G121" s="71"/>
      <c r="H121" s="63"/>
      <c r="I121" s="63"/>
      <c r="J121" s="63"/>
      <c r="K121" s="64"/>
      <c r="L121" s="64"/>
      <c r="M121" s="64"/>
      <c r="N121" s="64"/>
      <c r="O121" s="64"/>
      <c r="P121" s="74"/>
      <c r="Q121" s="74"/>
      <c r="R121" s="74"/>
      <c r="S121" s="63"/>
    </row>
    <row r="122" spans="2:19" ht="25" customHeight="1" x14ac:dyDescent="0.35">
      <c r="B122" s="70"/>
      <c r="C122" s="71"/>
      <c r="D122" s="71"/>
      <c r="E122" s="88"/>
      <c r="F122" s="71"/>
      <c r="G122" s="71"/>
      <c r="H122" s="63"/>
      <c r="I122" s="63"/>
      <c r="J122" s="63"/>
      <c r="K122" s="64"/>
      <c r="L122" s="64"/>
      <c r="M122" s="64"/>
      <c r="N122" s="64"/>
      <c r="O122" s="64"/>
      <c r="P122" s="74"/>
      <c r="Q122" s="74"/>
      <c r="R122" s="74"/>
      <c r="S122" s="63"/>
    </row>
    <row r="123" spans="2:19" ht="25" customHeight="1" x14ac:dyDescent="0.35">
      <c r="B123" s="70"/>
      <c r="C123" s="71"/>
      <c r="D123" s="71"/>
      <c r="E123" s="88"/>
      <c r="F123" s="71"/>
      <c r="G123" s="71"/>
      <c r="H123" s="63"/>
      <c r="I123" s="63"/>
      <c r="J123" s="63"/>
      <c r="K123" s="64"/>
      <c r="L123" s="64"/>
      <c r="M123" s="64"/>
      <c r="N123" s="64"/>
      <c r="O123" s="64"/>
      <c r="P123" s="74"/>
      <c r="Q123" s="74"/>
      <c r="R123" s="74"/>
      <c r="S123" s="63"/>
    </row>
    <row r="124" spans="2:19" ht="25" customHeight="1" x14ac:dyDescent="0.35">
      <c r="B124" s="70"/>
      <c r="C124" s="71"/>
      <c r="D124" s="71"/>
      <c r="E124" s="88"/>
      <c r="F124" s="71"/>
      <c r="G124" s="71"/>
      <c r="H124" s="63"/>
      <c r="I124" s="63"/>
      <c r="J124" s="63"/>
      <c r="K124" s="64"/>
      <c r="L124" s="64"/>
      <c r="M124" s="64"/>
      <c r="N124" s="64"/>
      <c r="O124" s="64"/>
      <c r="P124" s="74"/>
      <c r="Q124" s="74"/>
      <c r="R124" s="74"/>
      <c r="S124" s="63"/>
    </row>
    <row r="125" spans="2:19" ht="25" customHeight="1" x14ac:dyDescent="0.35">
      <c r="B125" s="70"/>
      <c r="C125" s="71"/>
      <c r="D125" s="71"/>
      <c r="E125" s="88"/>
      <c r="F125" s="71"/>
      <c r="G125" s="71"/>
      <c r="H125" s="63"/>
      <c r="I125" s="63"/>
      <c r="J125" s="63"/>
      <c r="K125" s="64"/>
      <c r="L125" s="64"/>
      <c r="M125" s="64"/>
      <c r="N125" s="64"/>
      <c r="O125" s="64"/>
      <c r="P125" s="74"/>
      <c r="Q125" s="74"/>
      <c r="R125" s="74"/>
      <c r="S125" s="63"/>
    </row>
    <row r="126" spans="2:19" ht="25" customHeight="1" x14ac:dyDescent="0.35">
      <c r="B126" s="70"/>
      <c r="C126" s="71"/>
      <c r="D126" s="71"/>
      <c r="E126" s="88"/>
      <c r="F126" s="71"/>
      <c r="G126" s="71"/>
      <c r="H126" s="63"/>
      <c r="I126" s="63"/>
      <c r="J126" s="63"/>
      <c r="K126" s="64"/>
      <c r="L126" s="64"/>
      <c r="M126" s="64"/>
      <c r="N126" s="64"/>
      <c r="O126" s="64"/>
      <c r="P126" s="74"/>
      <c r="Q126" s="74"/>
      <c r="R126" s="74"/>
      <c r="S126" s="63"/>
    </row>
    <row r="127" spans="2:19" ht="25" customHeight="1" x14ac:dyDescent="0.35">
      <c r="B127" s="70"/>
      <c r="C127" s="71"/>
      <c r="D127" s="71"/>
      <c r="E127" s="88"/>
      <c r="F127" s="71"/>
      <c r="G127" s="71"/>
      <c r="H127" s="63"/>
      <c r="I127" s="63"/>
      <c r="J127" s="63"/>
      <c r="K127" s="64"/>
      <c r="L127" s="64"/>
      <c r="M127" s="64"/>
      <c r="N127" s="64"/>
      <c r="O127" s="64"/>
      <c r="P127" s="74"/>
      <c r="Q127" s="74"/>
      <c r="R127" s="74"/>
      <c r="S127" s="63"/>
    </row>
    <row r="128" spans="2:19" ht="25" customHeight="1" x14ac:dyDescent="0.35">
      <c r="B128" s="70"/>
      <c r="C128" s="71"/>
      <c r="D128" s="71"/>
      <c r="E128" s="88"/>
      <c r="F128" s="71"/>
      <c r="G128" s="71"/>
      <c r="H128" s="63"/>
      <c r="I128" s="63"/>
      <c r="J128" s="63"/>
      <c r="K128" s="64"/>
      <c r="L128" s="64"/>
      <c r="M128" s="64"/>
      <c r="N128" s="64"/>
      <c r="O128" s="64"/>
      <c r="P128" s="74"/>
      <c r="Q128" s="74"/>
      <c r="R128" s="74"/>
      <c r="S128" s="63"/>
    </row>
    <row r="129" spans="2:19" ht="25" customHeight="1" x14ac:dyDescent="0.35">
      <c r="B129" s="70"/>
      <c r="C129" s="71"/>
      <c r="D129" s="71"/>
      <c r="E129" s="88"/>
      <c r="F129" s="71"/>
      <c r="G129" s="71"/>
      <c r="H129" s="63"/>
      <c r="I129" s="63"/>
      <c r="J129" s="63"/>
      <c r="K129" s="64"/>
      <c r="L129" s="64"/>
      <c r="M129" s="64"/>
      <c r="N129" s="64"/>
      <c r="O129" s="64"/>
      <c r="P129" s="74"/>
      <c r="Q129" s="74"/>
      <c r="R129" s="74"/>
      <c r="S129" s="63"/>
    </row>
    <row r="130" spans="2:19" ht="25" customHeight="1" x14ac:dyDescent="0.35">
      <c r="B130" s="70"/>
      <c r="C130" s="71"/>
      <c r="D130" s="71"/>
      <c r="E130" s="88"/>
      <c r="F130" s="71"/>
      <c r="G130" s="71"/>
      <c r="H130" s="63"/>
      <c r="I130" s="63"/>
      <c r="J130" s="63"/>
      <c r="K130" s="64"/>
      <c r="L130" s="64"/>
      <c r="M130" s="64"/>
      <c r="N130" s="64"/>
      <c r="O130" s="64"/>
      <c r="P130" s="74"/>
      <c r="Q130" s="74"/>
      <c r="R130" s="74"/>
      <c r="S130" s="63"/>
    </row>
    <row r="131" spans="2:19" ht="25" customHeight="1" x14ac:dyDescent="0.35">
      <c r="B131" s="70"/>
      <c r="C131" s="71"/>
      <c r="D131" s="71"/>
      <c r="E131" s="88"/>
      <c r="F131" s="71"/>
      <c r="G131" s="71"/>
      <c r="H131" s="63"/>
      <c r="I131" s="63"/>
      <c r="J131" s="63"/>
      <c r="K131" s="64"/>
      <c r="L131" s="64"/>
      <c r="M131" s="64"/>
      <c r="N131" s="64"/>
      <c r="O131" s="64"/>
      <c r="P131" s="74"/>
      <c r="Q131" s="74"/>
      <c r="R131" s="74"/>
      <c r="S131" s="63"/>
    </row>
    <row r="132" spans="2:19" ht="25" customHeight="1" x14ac:dyDescent="0.35">
      <c r="B132" s="70"/>
      <c r="C132" s="71"/>
      <c r="D132" s="71"/>
      <c r="E132" s="88"/>
      <c r="F132" s="71"/>
      <c r="G132" s="71"/>
      <c r="H132" s="63"/>
      <c r="I132" s="63"/>
      <c r="J132" s="63"/>
      <c r="K132" s="64"/>
      <c r="L132" s="64"/>
      <c r="M132" s="64"/>
      <c r="N132" s="64"/>
      <c r="O132" s="64"/>
      <c r="P132" s="74"/>
      <c r="Q132" s="74"/>
      <c r="R132" s="74"/>
      <c r="S132" s="63"/>
    </row>
    <row r="133" spans="2:19" ht="25" customHeight="1" x14ac:dyDescent="0.35">
      <c r="B133" s="70"/>
      <c r="C133" s="71"/>
      <c r="D133" s="71"/>
      <c r="E133" s="88"/>
      <c r="F133" s="71"/>
      <c r="G133" s="71"/>
      <c r="H133" s="63"/>
      <c r="I133" s="63"/>
      <c r="J133" s="63"/>
      <c r="K133" s="64"/>
      <c r="L133" s="64"/>
      <c r="M133" s="64"/>
      <c r="N133" s="64"/>
      <c r="O133" s="64"/>
      <c r="P133" s="74"/>
      <c r="Q133" s="74"/>
      <c r="R133" s="74"/>
      <c r="S133" s="63"/>
    </row>
    <row r="134" spans="2:19" ht="25" customHeight="1" x14ac:dyDescent="0.35">
      <c r="B134" s="70"/>
      <c r="C134" s="71"/>
      <c r="D134" s="71"/>
      <c r="E134" s="88"/>
      <c r="F134" s="71"/>
      <c r="G134" s="71"/>
      <c r="H134" s="63"/>
      <c r="I134" s="63"/>
      <c r="J134" s="63"/>
      <c r="K134" s="64"/>
      <c r="L134" s="64"/>
      <c r="M134" s="64"/>
      <c r="N134" s="64"/>
      <c r="O134" s="64"/>
      <c r="P134" s="74"/>
      <c r="Q134" s="74"/>
      <c r="R134" s="74"/>
      <c r="S134" s="63"/>
    </row>
    <row r="135" spans="2:19" ht="25" customHeight="1" x14ac:dyDescent="0.35">
      <c r="B135" s="70"/>
      <c r="C135" s="71"/>
      <c r="D135" s="71"/>
      <c r="E135" s="88"/>
      <c r="F135" s="71"/>
      <c r="G135" s="71"/>
      <c r="H135" s="63"/>
      <c r="I135" s="63"/>
      <c r="J135" s="63"/>
      <c r="K135" s="64"/>
      <c r="L135" s="64"/>
      <c r="M135" s="64"/>
      <c r="N135" s="64"/>
      <c r="O135" s="64"/>
      <c r="P135" s="74"/>
      <c r="Q135" s="74"/>
      <c r="R135" s="74"/>
      <c r="S135" s="63"/>
    </row>
    <row r="136" spans="2:19" ht="25" customHeight="1" x14ac:dyDescent="0.35">
      <c r="B136" s="70"/>
      <c r="C136" s="71"/>
      <c r="D136" s="71"/>
      <c r="E136" s="88"/>
      <c r="F136" s="71"/>
      <c r="G136" s="71"/>
      <c r="H136" s="63"/>
      <c r="I136" s="63"/>
      <c r="J136" s="63"/>
      <c r="K136" s="64"/>
      <c r="L136" s="64"/>
      <c r="M136" s="64"/>
      <c r="N136" s="64"/>
      <c r="O136" s="64"/>
      <c r="P136" s="74"/>
      <c r="Q136" s="74"/>
      <c r="R136" s="74"/>
      <c r="S136" s="63"/>
    </row>
    <row r="137" spans="2:19" ht="25" customHeight="1" x14ac:dyDescent="0.35">
      <c r="B137" s="70"/>
      <c r="C137" s="71"/>
      <c r="D137" s="71"/>
      <c r="E137" s="88"/>
      <c r="F137" s="71"/>
      <c r="G137" s="71"/>
      <c r="H137" s="63"/>
      <c r="I137" s="63"/>
      <c r="J137" s="63"/>
      <c r="K137" s="64"/>
      <c r="L137" s="64"/>
      <c r="M137" s="64"/>
      <c r="N137" s="64"/>
      <c r="O137" s="64"/>
      <c r="P137" s="74"/>
      <c r="Q137" s="74"/>
      <c r="R137" s="74"/>
      <c r="S137" s="63"/>
    </row>
    <row r="138" spans="2:19" ht="25" customHeight="1" x14ac:dyDescent="0.35">
      <c r="B138" s="70"/>
      <c r="C138" s="71"/>
      <c r="D138" s="71"/>
      <c r="E138" s="88"/>
      <c r="F138" s="71"/>
      <c r="G138" s="71"/>
      <c r="H138" s="63"/>
      <c r="I138" s="63"/>
      <c r="J138" s="63"/>
      <c r="K138" s="64"/>
      <c r="L138" s="64"/>
      <c r="M138" s="64"/>
      <c r="N138" s="64"/>
      <c r="O138" s="64"/>
      <c r="P138" s="74"/>
      <c r="Q138" s="74"/>
      <c r="R138" s="74"/>
      <c r="S138" s="63"/>
    </row>
    <row r="139" spans="2:19" ht="25" customHeight="1" x14ac:dyDescent="0.35">
      <c r="B139" s="70"/>
      <c r="C139" s="71"/>
      <c r="D139" s="71"/>
      <c r="E139" s="88"/>
      <c r="F139" s="71"/>
      <c r="G139" s="71"/>
      <c r="H139" s="63"/>
      <c r="I139" s="63"/>
      <c r="J139" s="63"/>
      <c r="K139" s="64"/>
      <c r="L139" s="64"/>
      <c r="M139" s="64"/>
      <c r="N139" s="64"/>
      <c r="O139" s="64"/>
      <c r="P139" s="74"/>
      <c r="Q139" s="74"/>
      <c r="R139" s="74"/>
      <c r="S139" s="63"/>
    </row>
    <row r="140" spans="2:19" ht="25" customHeight="1" x14ac:dyDescent="0.35">
      <c r="B140" s="70"/>
      <c r="C140" s="71"/>
      <c r="D140" s="71"/>
      <c r="E140" s="88"/>
      <c r="F140" s="71"/>
      <c r="G140" s="71"/>
      <c r="H140" s="63"/>
      <c r="I140" s="63"/>
      <c r="J140" s="63"/>
      <c r="K140" s="64"/>
      <c r="L140" s="64"/>
      <c r="M140" s="64"/>
      <c r="N140" s="64"/>
      <c r="O140" s="64"/>
      <c r="P140" s="74"/>
      <c r="Q140" s="74"/>
      <c r="R140" s="74"/>
      <c r="S140" s="63"/>
    </row>
    <row r="141" spans="2:19" ht="25" customHeight="1" x14ac:dyDescent="0.35">
      <c r="B141" s="70"/>
      <c r="C141" s="71"/>
      <c r="D141" s="71"/>
      <c r="E141" s="88"/>
      <c r="F141" s="71"/>
      <c r="G141" s="71"/>
      <c r="H141" s="63"/>
      <c r="I141" s="63"/>
      <c r="J141" s="63"/>
      <c r="K141" s="64"/>
      <c r="L141" s="64"/>
      <c r="M141" s="64"/>
      <c r="N141" s="64"/>
      <c r="O141" s="64"/>
      <c r="P141" s="74"/>
      <c r="Q141" s="74"/>
      <c r="R141" s="74"/>
      <c r="S141" s="63"/>
    </row>
    <row r="142" spans="2:19" ht="25" customHeight="1" x14ac:dyDescent="0.35">
      <c r="B142" s="70"/>
      <c r="C142" s="71"/>
      <c r="D142" s="71"/>
      <c r="E142" s="88"/>
      <c r="F142" s="71"/>
      <c r="G142" s="71"/>
      <c r="H142" s="63"/>
      <c r="I142" s="63"/>
      <c r="J142" s="63"/>
      <c r="K142" s="64"/>
      <c r="L142" s="64"/>
      <c r="M142" s="64"/>
      <c r="N142" s="64"/>
      <c r="O142" s="64"/>
      <c r="P142" s="74"/>
      <c r="Q142" s="74"/>
      <c r="R142" s="74"/>
      <c r="S142" s="63"/>
    </row>
    <row r="143" spans="2:19" ht="25" customHeight="1" x14ac:dyDescent="0.35">
      <c r="B143" s="70"/>
      <c r="C143" s="71"/>
      <c r="D143" s="71"/>
      <c r="E143" s="88"/>
      <c r="F143" s="71"/>
      <c r="G143" s="71"/>
      <c r="H143" s="63"/>
      <c r="I143" s="63"/>
      <c r="J143" s="63"/>
      <c r="K143" s="64"/>
      <c r="L143" s="64"/>
      <c r="M143" s="64"/>
      <c r="N143" s="64"/>
      <c r="O143" s="64"/>
      <c r="P143" s="74"/>
      <c r="Q143" s="74"/>
      <c r="R143" s="74"/>
      <c r="S143" s="63"/>
    </row>
    <row r="144" spans="2:19" ht="25" customHeight="1" x14ac:dyDescent="0.35">
      <c r="B144" s="70"/>
      <c r="C144" s="71"/>
      <c r="D144" s="71"/>
      <c r="E144" s="88"/>
      <c r="F144" s="71"/>
      <c r="G144" s="71"/>
      <c r="H144" s="63"/>
      <c r="I144" s="63"/>
      <c r="J144" s="63"/>
      <c r="K144" s="64"/>
      <c r="L144" s="64"/>
      <c r="M144" s="64"/>
      <c r="N144" s="64"/>
      <c r="O144" s="64"/>
      <c r="P144" s="74"/>
      <c r="Q144" s="74"/>
      <c r="R144" s="74"/>
      <c r="S144" s="63"/>
    </row>
    <row r="145" spans="2:19" ht="25" customHeight="1" x14ac:dyDescent="0.35">
      <c r="B145" s="70"/>
      <c r="C145" s="71"/>
      <c r="D145" s="71"/>
      <c r="E145" s="88"/>
      <c r="F145" s="71"/>
      <c r="G145" s="71"/>
      <c r="H145" s="63"/>
      <c r="I145" s="63"/>
      <c r="J145" s="63"/>
      <c r="K145" s="64"/>
      <c r="L145" s="64"/>
      <c r="M145" s="64"/>
      <c r="N145" s="64"/>
      <c r="O145" s="64"/>
      <c r="P145" s="74"/>
      <c r="Q145" s="74"/>
      <c r="R145" s="74"/>
      <c r="S145" s="63"/>
    </row>
    <row r="146" spans="2:19" ht="25" customHeight="1" x14ac:dyDescent="0.35">
      <c r="B146" s="70"/>
      <c r="C146" s="71"/>
      <c r="D146" s="71"/>
      <c r="E146" s="88"/>
      <c r="F146" s="71"/>
      <c r="G146" s="71"/>
      <c r="H146" s="63"/>
      <c r="I146" s="63"/>
      <c r="J146" s="63"/>
      <c r="K146" s="64"/>
      <c r="L146" s="64"/>
      <c r="M146" s="64"/>
      <c r="N146" s="64"/>
      <c r="O146" s="64"/>
      <c r="P146" s="74"/>
      <c r="Q146" s="74"/>
      <c r="R146" s="74"/>
      <c r="S146" s="63"/>
    </row>
    <row r="147" spans="2:19" ht="25" customHeight="1" x14ac:dyDescent="0.35">
      <c r="B147" s="70"/>
      <c r="C147" s="71"/>
      <c r="D147" s="71"/>
      <c r="E147" s="88"/>
      <c r="F147" s="71"/>
      <c r="G147" s="71"/>
      <c r="H147" s="63"/>
      <c r="I147" s="63"/>
      <c r="J147" s="63"/>
      <c r="K147" s="64"/>
      <c r="L147" s="64"/>
      <c r="M147" s="64"/>
      <c r="N147" s="64"/>
      <c r="O147" s="64"/>
      <c r="P147" s="74"/>
      <c r="Q147" s="74"/>
      <c r="R147" s="74"/>
      <c r="S147" s="63"/>
    </row>
    <row r="148" spans="2:19" ht="25" customHeight="1" x14ac:dyDescent="0.35">
      <c r="B148" s="70"/>
      <c r="C148" s="71"/>
      <c r="D148" s="71"/>
      <c r="E148" s="88"/>
      <c r="F148" s="71"/>
      <c r="G148" s="71"/>
      <c r="H148" s="63"/>
      <c r="I148" s="63"/>
      <c r="J148" s="63"/>
      <c r="K148" s="64"/>
      <c r="L148" s="64"/>
      <c r="M148" s="64"/>
      <c r="N148" s="64"/>
      <c r="O148" s="64"/>
      <c r="P148" s="74"/>
      <c r="Q148" s="74"/>
      <c r="R148" s="74"/>
      <c r="S148" s="63"/>
    </row>
    <row r="149" spans="2:19" ht="25" customHeight="1" x14ac:dyDescent="0.35">
      <c r="B149" s="70"/>
      <c r="C149" s="71"/>
      <c r="D149" s="71"/>
      <c r="E149" s="88"/>
      <c r="F149" s="71"/>
      <c r="G149" s="71"/>
      <c r="H149" s="63"/>
      <c r="I149" s="63"/>
      <c r="J149" s="63"/>
      <c r="K149" s="64"/>
      <c r="L149" s="64"/>
      <c r="M149" s="64"/>
      <c r="N149" s="64"/>
      <c r="O149" s="64"/>
      <c r="P149" s="74"/>
      <c r="Q149" s="74"/>
      <c r="R149" s="74"/>
      <c r="S149" s="63"/>
    </row>
    <row r="150" spans="2:19" ht="25" customHeight="1" x14ac:dyDescent="0.35">
      <c r="B150" s="70"/>
      <c r="C150" s="71"/>
      <c r="D150" s="71"/>
      <c r="E150" s="88"/>
      <c r="F150" s="71"/>
      <c r="G150" s="71"/>
      <c r="H150" s="63"/>
      <c r="I150" s="63"/>
      <c r="J150" s="63"/>
      <c r="K150" s="64"/>
      <c r="L150" s="64"/>
      <c r="M150" s="64"/>
      <c r="N150" s="64"/>
      <c r="O150" s="64"/>
      <c r="P150" s="74"/>
      <c r="Q150" s="74"/>
      <c r="R150" s="74"/>
      <c r="S150" s="63"/>
    </row>
    <row r="151" spans="2:19" ht="25" customHeight="1" x14ac:dyDescent="0.35">
      <c r="B151" s="70"/>
      <c r="C151" s="71"/>
      <c r="D151" s="71"/>
      <c r="E151" s="88"/>
      <c r="F151" s="71"/>
      <c r="G151" s="71"/>
      <c r="H151" s="63"/>
      <c r="I151" s="63"/>
      <c r="J151" s="63"/>
      <c r="K151" s="64"/>
      <c r="L151" s="64"/>
      <c r="M151" s="64"/>
      <c r="N151" s="64"/>
      <c r="O151" s="64"/>
      <c r="P151" s="74"/>
      <c r="Q151" s="74"/>
      <c r="R151" s="74"/>
      <c r="S151" s="63"/>
    </row>
    <row r="152" spans="2:19" ht="25" customHeight="1" x14ac:dyDescent="0.35">
      <c r="B152" s="70"/>
      <c r="C152" s="71"/>
      <c r="D152" s="71"/>
      <c r="E152" s="88"/>
      <c r="F152" s="71"/>
      <c r="G152" s="71"/>
      <c r="H152" s="63"/>
      <c r="I152" s="63"/>
      <c r="J152" s="63"/>
      <c r="K152" s="64"/>
      <c r="L152" s="64"/>
      <c r="M152" s="64"/>
      <c r="N152" s="64"/>
      <c r="O152" s="64"/>
      <c r="P152" s="74"/>
      <c r="Q152" s="74"/>
      <c r="R152" s="74"/>
      <c r="S152" s="63"/>
    </row>
    <row r="153" spans="2:19" ht="25" customHeight="1" x14ac:dyDescent="0.35">
      <c r="B153" s="70"/>
      <c r="C153" s="71"/>
      <c r="D153" s="71"/>
      <c r="E153" s="88"/>
      <c r="F153" s="71"/>
      <c r="G153" s="71"/>
      <c r="H153" s="63"/>
      <c r="I153" s="63"/>
      <c r="J153" s="63"/>
      <c r="K153" s="64"/>
      <c r="L153" s="64"/>
      <c r="M153" s="64"/>
      <c r="N153" s="64"/>
      <c r="O153" s="64"/>
      <c r="P153" s="74"/>
      <c r="Q153" s="74"/>
      <c r="R153" s="74"/>
      <c r="S153" s="63"/>
    </row>
    <row r="154" spans="2:19" ht="25" customHeight="1" x14ac:dyDescent="0.35">
      <c r="B154" s="70"/>
      <c r="C154" s="71"/>
      <c r="D154" s="71"/>
      <c r="E154" s="88"/>
      <c r="F154" s="71"/>
      <c r="G154" s="71"/>
      <c r="H154" s="63"/>
      <c r="I154" s="63"/>
      <c r="J154" s="63"/>
      <c r="K154" s="64"/>
      <c r="L154" s="64"/>
      <c r="M154" s="64"/>
      <c r="N154" s="64"/>
      <c r="O154" s="64"/>
      <c r="P154" s="74"/>
      <c r="Q154" s="74"/>
      <c r="R154" s="74"/>
      <c r="S154" s="63"/>
    </row>
    <row r="155" spans="2:19" ht="25" customHeight="1" x14ac:dyDescent="0.35">
      <c r="B155" s="70"/>
      <c r="C155" s="71"/>
      <c r="D155" s="71"/>
      <c r="E155" s="88"/>
      <c r="F155" s="71"/>
      <c r="G155" s="71"/>
      <c r="H155" s="63"/>
      <c r="I155" s="63"/>
      <c r="J155" s="63"/>
      <c r="K155" s="64"/>
      <c r="L155" s="64"/>
      <c r="M155" s="64"/>
      <c r="N155" s="64"/>
      <c r="O155" s="64"/>
      <c r="P155" s="74"/>
      <c r="Q155" s="74"/>
      <c r="R155" s="74"/>
      <c r="S155" s="63"/>
    </row>
    <row r="156" spans="2:19" ht="25" customHeight="1" x14ac:dyDescent="0.35">
      <c r="B156" s="70"/>
      <c r="C156" s="71"/>
      <c r="D156" s="71"/>
      <c r="E156" s="88"/>
      <c r="F156" s="71"/>
      <c r="G156" s="71"/>
      <c r="H156" s="63"/>
      <c r="I156" s="63"/>
      <c r="J156" s="63"/>
      <c r="K156" s="64"/>
      <c r="L156" s="64"/>
      <c r="M156" s="64"/>
      <c r="N156" s="64"/>
      <c r="O156" s="64"/>
      <c r="P156" s="74"/>
      <c r="Q156" s="74"/>
      <c r="R156" s="74"/>
      <c r="S156" s="63"/>
    </row>
    <row r="157" spans="2:19" ht="25" customHeight="1" x14ac:dyDescent="0.35">
      <c r="B157" s="70"/>
      <c r="C157" s="71"/>
      <c r="D157" s="71"/>
      <c r="E157" s="88"/>
      <c r="F157" s="71"/>
      <c r="G157" s="71"/>
      <c r="H157" s="63"/>
      <c r="I157" s="63"/>
      <c r="J157" s="63"/>
      <c r="K157" s="64"/>
      <c r="L157" s="64"/>
      <c r="M157" s="64"/>
      <c r="N157" s="64"/>
      <c r="O157" s="64"/>
      <c r="P157" s="74"/>
      <c r="Q157" s="74"/>
      <c r="R157" s="74"/>
      <c r="S157" s="63"/>
    </row>
    <row r="158" spans="2:19" ht="25" customHeight="1" x14ac:dyDescent="0.35">
      <c r="B158" s="70"/>
      <c r="C158" s="71"/>
      <c r="D158" s="71"/>
      <c r="E158" s="88"/>
      <c r="F158" s="71"/>
      <c r="G158" s="71"/>
      <c r="H158" s="63"/>
      <c r="I158" s="63"/>
      <c r="J158" s="63"/>
      <c r="K158" s="64"/>
      <c r="L158" s="64"/>
      <c r="M158" s="64"/>
      <c r="N158" s="64"/>
      <c r="O158" s="64"/>
      <c r="P158" s="74"/>
      <c r="Q158" s="74"/>
      <c r="R158" s="74"/>
      <c r="S158" s="63"/>
    </row>
    <row r="159" spans="2:19" ht="25" customHeight="1" x14ac:dyDescent="0.35">
      <c r="B159" s="70"/>
      <c r="C159" s="71"/>
      <c r="D159" s="71"/>
      <c r="E159" s="88"/>
      <c r="F159" s="71"/>
      <c r="G159" s="71"/>
      <c r="H159" s="63"/>
      <c r="I159" s="63"/>
      <c r="J159" s="63"/>
      <c r="K159" s="64"/>
      <c r="L159" s="64"/>
      <c r="M159" s="64"/>
      <c r="N159" s="64"/>
      <c r="O159" s="64"/>
      <c r="P159" s="74"/>
      <c r="Q159" s="74"/>
      <c r="R159" s="74"/>
      <c r="S159" s="63"/>
    </row>
    <row r="160" spans="2:19" ht="25" customHeight="1" x14ac:dyDescent="0.35">
      <c r="B160" s="70"/>
      <c r="C160" s="71"/>
      <c r="D160" s="71"/>
      <c r="E160" s="88"/>
      <c r="F160" s="71"/>
      <c r="G160" s="71"/>
      <c r="H160" s="63"/>
      <c r="I160" s="63"/>
      <c r="J160" s="63"/>
      <c r="K160" s="64"/>
      <c r="L160" s="64"/>
      <c r="M160" s="64"/>
      <c r="N160" s="64"/>
      <c r="O160" s="64"/>
      <c r="P160" s="74"/>
      <c r="Q160" s="74"/>
      <c r="R160" s="74"/>
      <c r="S160" s="63"/>
    </row>
    <row r="161" spans="2:19" ht="25" customHeight="1" x14ac:dyDescent="0.35">
      <c r="B161" s="70"/>
      <c r="C161" s="71"/>
      <c r="D161" s="71"/>
      <c r="E161" s="88"/>
      <c r="F161" s="71"/>
      <c r="G161" s="71"/>
      <c r="H161" s="63"/>
      <c r="I161" s="63"/>
      <c r="J161" s="63"/>
      <c r="K161" s="64"/>
      <c r="L161" s="64"/>
      <c r="M161" s="64"/>
      <c r="N161" s="64"/>
      <c r="O161" s="64"/>
      <c r="P161" s="74"/>
      <c r="Q161" s="74"/>
      <c r="R161" s="74"/>
      <c r="S161" s="63"/>
    </row>
    <row r="162" spans="2:19" ht="25" customHeight="1" x14ac:dyDescent="0.35">
      <c r="B162" s="70"/>
      <c r="C162" s="71"/>
      <c r="D162" s="71"/>
      <c r="E162" s="88"/>
      <c r="F162" s="71"/>
      <c r="G162" s="71"/>
      <c r="H162" s="63"/>
      <c r="I162" s="63"/>
      <c r="J162" s="63"/>
      <c r="K162" s="64"/>
      <c r="L162" s="64"/>
      <c r="M162" s="64"/>
      <c r="N162" s="64"/>
      <c r="O162" s="64"/>
      <c r="P162" s="74"/>
      <c r="Q162" s="74"/>
      <c r="R162" s="74"/>
      <c r="S162" s="63"/>
    </row>
    <row r="163" spans="2:19" ht="25" customHeight="1" x14ac:dyDescent="0.35">
      <c r="B163" s="70"/>
      <c r="C163" s="71"/>
      <c r="D163" s="71"/>
      <c r="E163" s="88"/>
      <c r="F163" s="71"/>
      <c r="G163" s="71"/>
      <c r="H163" s="63"/>
      <c r="I163" s="63"/>
      <c r="J163" s="63"/>
      <c r="K163" s="64"/>
      <c r="L163" s="64"/>
      <c r="M163" s="64"/>
      <c r="N163" s="64"/>
      <c r="O163" s="64"/>
      <c r="P163" s="74"/>
      <c r="Q163" s="74"/>
      <c r="R163" s="74"/>
      <c r="S163" s="63"/>
    </row>
    <row r="164" spans="2:19" ht="25" customHeight="1" x14ac:dyDescent="0.35">
      <c r="B164" s="70"/>
      <c r="C164" s="71"/>
      <c r="D164" s="71"/>
      <c r="E164" s="88"/>
      <c r="F164" s="71"/>
      <c r="G164" s="71"/>
      <c r="H164" s="63"/>
      <c r="I164" s="63"/>
      <c r="J164" s="63"/>
      <c r="K164" s="64"/>
      <c r="L164" s="64"/>
      <c r="M164" s="64"/>
      <c r="N164" s="64"/>
      <c r="O164" s="64"/>
      <c r="P164" s="74"/>
      <c r="Q164" s="74"/>
      <c r="R164" s="74"/>
      <c r="S164" s="63"/>
    </row>
    <row r="165" spans="2:19" ht="25" customHeight="1" x14ac:dyDescent="0.35">
      <c r="B165" s="70"/>
      <c r="C165" s="71"/>
      <c r="D165" s="71"/>
      <c r="E165" s="88"/>
      <c r="F165" s="71"/>
      <c r="G165" s="71"/>
      <c r="H165" s="63"/>
      <c r="I165" s="63"/>
      <c r="J165" s="63"/>
      <c r="K165" s="64"/>
      <c r="L165" s="64"/>
      <c r="M165" s="64"/>
      <c r="N165" s="64"/>
      <c r="O165" s="64"/>
      <c r="P165" s="74"/>
      <c r="Q165" s="74"/>
      <c r="R165" s="74"/>
      <c r="S165" s="63"/>
    </row>
    <row r="166" spans="2:19" ht="25" customHeight="1" x14ac:dyDescent="0.35">
      <c r="B166" s="70"/>
      <c r="C166" s="71"/>
      <c r="D166" s="71"/>
      <c r="E166" s="88"/>
      <c r="F166" s="71"/>
      <c r="G166" s="71"/>
      <c r="H166" s="63"/>
      <c r="I166" s="63"/>
      <c r="J166" s="63"/>
      <c r="K166" s="64"/>
      <c r="L166" s="64"/>
      <c r="M166" s="64"/>
      <c r="N166" s="64"/>
      <c r="O166" s="64"/>
      <c r="P166" s="74"/>
      <c r="Q166" s="74"/>
      <c r="R166" s="74"/>
      <c r="S166" s="63"/>
    </row>
    <row r="167" spans="2:19" ht="25" customHeight="1" x14ac:dyDescent="0.35">
      <c r="B167" s="70"/>
      <c r="C167" s="71"/>
      <c r="D167" s="71"/>
      <c r="E167" s="88"/>
      <c r="F167" s="71"/>
      <c r="G167" s="71"/>
      <c r="H167" s="63"/>
      <c r="I167" s="63"/>
      <c r="J167" s="63"/>
      <c r="K167" s="64"/>
      <c r="L167" s="64"/>
      <c r="M167" s="64"/>
      <c r="N167" s="64"/>
      <c r="O167" s="64"/>
      <c r="P167" s="74"/>
      <c r="Q167" s="74"/>
      <c r="R167" s="74"/>
      <c r="S167" s="63"/>
    </row>
    <row r="168" spans="2:19" ht="25" customHeight="1" x14ac:dyDescent="0.35">
      <c r="B168" s="70"/>
      <c r="C168" s="71"/>
      <c r="D168" s="71"/>
      <c r="E168" s="88"/>
      <c r="F168" s="71"/>
      <c r="G168" s="71"/>
      <c r="H168" s="63"/>
      <c r="I168" s="63"/>
      <c r="J168" s="63"/>
      <c r="K168" s="64"/>
      <c r="L168" s="64"/>
      <c r="M168" s="64"/>
      <c r="N168" s="64"/>
      <c r="O168" s="64"/>
      <c r="P168" s="74"/>
      <c r="Q168" s="74"/>
      <c r="R168" s="74"/>
      <c r="S168" s="63"/>
    </row>
    <row r="169" spans="2:19" ht="25" customHeight="1" x14ac:dyDescent="0.35">
      <c r="B169" s="70"/>
      <c r="C169" s="71"/>
      <c r="D169" s="71"/>
      <c r="E169" s="88"/>
      <c r="F169" s="71"/>
      <c r="G169" s="71"/>
      <c r="H169" s="63"/>
      <c r="I169" s="63"/>
      <c r="J169" s="63"/>
      <c r="K169" s="64"/>
      <c r="L169" s="64"/>
      <c r="M169" s="64"/>
      <c r="N169" s="64"/>
      <c r="O169" s="64"/>
      <c r="P169" s="74"/>
      <c r="Q169" s="74"/>
      <c r="R169" s="74"/>
      <c r="S169" s="63"/>
    </row>
    <row r="170" spans="2:19" ht="25" customHeight="1" x14ac:dyDescent="0.35">
      <c r="B170" s="70"/>
      <c r="C170" s="71"/>
      <c r="D170" s="71"/>
      <c r="E170" s="88"/>
      <c r="F170" s="71"/>
      <c r="G170" s="71"/>
      <c r="H170" s="63"/>
      <c r="I170" s="63"/>
      <c r="J170" s="63"/>
      <c r="K170" s="64"/>
      <c r="L170" s="64"/>
      <c r="M170" s="64"/>
      <c r="N170" s="64"/>
      <c r="O170" s="64"/>
      <c r="P170" s="74"/>
      <c r="Q170" s="74"/>
      <c r="R170" s="74"/>
      <c r="S170" s="63"/>
    </row>
    <row r="171" spans="2:19" ht="25" customHeight="1" x14ac:dyDescent="0.35">
      <c r="B171" s="70"/>
      <c r="C171" s="71"/>
      <c r="D171" s="71"/>
      <c r="E171" s="88"/>
      <c r="F171" s="71"/>
      <c r="G171" s="71"/>
      <c r="H171" s="63"/>
      <c r="I171" s="63"/>
      <c r="J171" s="63"/>
      <c r="K171" s="64"/>
      <c r="L171" s="64"/>
      <c r="M171" s="64"/>
      <c r="N171" s="64"/>
      <c r="O171" s="64"/>
      <c r="P171" s="74"/>
      <c r="Q171" s="74"/>
      <c r="R171" s="74"/>
      <c r="S171" s="63"/>
    </row>
    <row r="172" spans="2:19" ht="25" customHeight="1" x14ac:dyDescent="0.35">
      <c r="B172" s="70"/>
      <c r="C172" s="71"/>
      <c r="D172" s="71"/>
      <c r="E172" s="88"/>
      <c r="F172" s="71"/>
      <c r="G172" s="71"/>
      <c r="H172" s="63"/>
      <c r="I172" s="63"/>
      <c r="J172" s="63"/>
      <c r="K172" s="64"/>
      <c r="L172" s="64"/>
      <c r="M172" s="64"/>
      <c r="N172" s="64"/>
      <c r="O172" s="64"/>
      <c r="P172" s="74"/>
      <c r="Q172" s="74"/>
      <c r="R172" s="74"/>
      <c r="S172" s="63"/>
    </row>
    <row r="173" spans="2:19" ht="25" customHeight="1" x14ac:dyDescent="0.35">
      <c r="B173" s="70"/>
      <c r="C173" s="71"/>
      <c r="D173" s="71"/>
      <c r="E173" s="88"/>
      <c r="F173" s="71"/>
      <c r="G173" s="71"/>
      <c r="H173" s="63"/>
      <c r="I173" s="63"/>
      <c r="J173" s="63"/>
      <c r="K173" s="64"/>
      <c r="L173" s="64"/>
      <c r="M173" s="64"/>
      <c r="N173" s="64"/>
      <c r="O173" s="64"/>
      <c r="P173" s="74"/>
      <c r="Q173" s="74"/>
      <c r="R173" s="74"/>
      <c r="S173" s="63"/>
    </row>
    <row r="174" spans="2:19" ht="25" customHeight="1" x14ac:dyDescent="0.35">
      <c r="B174" s="70"/>
      <c r="C174" s="71"/>
      <c r="D174" s="71"/>
      <c r="E174" s="88"/>
      <c r="F174" s="71"/>
      <c r="G174" s="71"/>
      <c r="H174" s="63"/>
      <c r="I174" s="63"/>
      <c r="J174" s="63"/>
      <c r="K174" s="64"/>
      <c r="L174" s="64"/>
      <c r="M174" s="64"/>
      <c r="N174" s="64"/>
      <c r="O174" s="64"/>
      <c r="P174" s="74"/>
      <c r="Q174" s="74"/>
      <c r="R174" s="74"/>
      <c r="S174" s="63"/>
    </row>
    <row r="175" spans="2:19" ht="25" customHeight="1" x14ac:dyDescent="0.35">
      <c r="B175" s="70"/>
      <c r="C175" s="71"/>
      <c r="D175" s="71"/>
      <c r="E175" s="88"/>
      <c r="F175" s="71"/>
      <c r="G175" s="71"/>
      <c r="H175" s="63"/>
      <c r="I175" s="63"/>
      <c r="J175" s="63"/>
      <c r="K175" s="64"/>
      <c r="L175" s="64"/>
      <c r="M175" s="64"/>
      <c r="N175" s="64"/>
      <c r="O175" s="64"/>
      <c r="P175" s="74"/>
      <c r="Q175" s="74"/>
      <c r="R175" s="74"/>
      <c r="S175" s="63"/>
    </row>
    <row r="176" spans="2:19" ht="25" customHeight="1" x14ac:dyDescent="0.35">
      <c r="B176" s="70"/>
      <c r="C176" s="71"/>
      <c r="D176" s="71"/>
      <c r="E176" s="88"/>
      <c r="F176" s="71"/>
      <c r="G176" s="71"/>
      <c r="H176" s="63"/>
      <c r="I176" s="63"/>
      <c r="J176" s="63"/>
      <c r="K176" s="64"/>
      <c r="L176" s="64"/>
      <c r="M176" s="64"/>
      <c r="N176" s="64"/>
      <c r="O176" s="64"/>
      <c r="P176" s="74"/>
      <c r="Q176" s="74"/>
      <c r="R176" s="74"/>
      <c r="S176" s="63"/>
    </row>
    <row r="177" spans="2:19" ht="25" customHeight="1" x14ac:dyDescent="0.35">
      <c r="B177" s="70"/>
      <c r="C177" s="71"/>
      <c r="D177" s="71"/>
      <c r="E177" s="88"/>
      <c r="F177" s="71"/>
      <c r="G177" s="71"/>
      <c r="H177" s="63"/>
      <c r="I177" s="63"/>
      <c r="J177" s="63"/>
      <c r="K177" s="64"/>
      <c r="L177" s="64"/>
      <c r="M177" s="64"/>
      <c r="N177" s="64"/>
      <c r="O177" s="64"/>
      <c r="P177" s="74"/>
      <c r="Q177" s="74"/>
      <c r="R177" s="74"/>
      <c r="S177" s="63"/>
    </row>
    <row r="178" spans="2:19" ht="25" customHeight="1" x14ac:dyDescent="0.35">
      <c r="B178" s="70"/>
      <c r="C178" s="71"/>
      <c r="D178" s="71"/>
      <c r="E178" s="88"/>
      <c r="F178" s="71"/>
      <c r="G178" s="71"/>
      <c r="H178" s="63"/>
      <c r="I178" s="63"/>
      <c r="J178" s="63"/>
      <c r="K178" s="64"/>
      <c r="L178" s="64"/>
      <c r="M178" s="64"/>
      <c r="N178" s="64"/>
      <c r="O178" s="64"/>
      <c r="P178" s="74"/>
      <c r="Q178" s="74"/>
      <c r="R178" s="74"/>
      <c r="S178" s="63"/>
    </row>
    <row r="179" spans="2:19" ht="25" customHeight="1" x14ac:dyDescent="0.35">
      <c r="B179" s="70"/>
      <c r="C179" s="71"/>
      <c r="D179" s="71"/>
      <c r="E179" s="88"/>
      <c r="F179" s="71"/>
      <c r="G179" s="71"/>
      <c r="H179" s="63"/>
      <c r="I179" s="63"/>
      <c r="J179" s="63"/>
      <c r="K179" s="64"/>
      <c r="L179" s="64"/>
      <c r="M179" s="64"/>
      <c r="N179" s="64"/>
      <c r="O179" s="64"/>
      <c r="P179" s="74"/>
      <c r="Q179" s="74"/>
      <c r="R179" s="74"/>
      <c r="S179" s="63"/>
    </row>
    <row r="180" spans="2:19" ht="25" customHeight="1" x14ac:dyDescent="0.35">
      <c r="B180" s="70"/>
      <c r="C180" s="71"/>
      <c r="D180" s="71"/>
      <c r="E180" s="88"/>
      <c r="F180" s="71"/>
      <c r="G180" s="71"/>
      <c r="H180" s="63"/>
      <c r="I180" s="63"/>
      <c r="J180" s="63"/>
      <c r="K180" s="64"/>
      <c r="L180" s="64"/>
      <c r="M180" s="64"/>
      <c r="N180" s="64"/>
      <c r="O180" s="64"/>
      <c r="P180" s="74"/>
      <c r="Q180" s="74"/>
      <c r="R180" s="74"/>
      <c r="S180" s="63"/>
    </row>
    <row r="181" spans="2:19" ht="25" customHeight="1" x14ac:dyDescent="0.35">
      <c r="B181" s="70"/>
      <c r="C181" s="71"/>
      <c r="D181" s="71"/>
      <c r="E181" s="88"/>
      <c r="F181" s="71"/>
      <c r="G181" s="71"/>
      <c r="H181" s="63"/>
      <c r="I181" s="63"/>
      <c r="J181" s="63"/>
      <c r="K181" s="64"/>
      <c r="L181" s="64"/>
      <c r="M181" s="64"/>
      <c r="N181" s="64"/>
      <c r="O181" s="64"/>
      <c r="P181" s="74"/>
      <c r="Q181" s="74"/>
      <c r="R181" s="74"/>
      <c r="S181" s="63"/>
    </row>
    <row r="182" spans="2:19" ht="25" customHeight="1" x14ac:dyDescent="0.35">
      <c r="B182" s="70"/>
      <c r="C182" s="71"/>
      <c r="D182" s="71"/>
      <c r="E182" s="88"/>
      <c r="F182" s="71"/>
      <c r="G182" s="71"/>
      <c r="H182" s="63"/>
      <c r="I182" s="63"/>
      <c r="J182" s="63"/>
      <c r="K182" s="64"/>
      <c r="L182" s="64"/>
      <c r="M182" s="64"/>
      <c r="N182" s="64"/>
      <c r="O182" s="64"/>
      <c r="P182" s="74"/>
      <c r="Q182" s="74"/>
      <c r="R182" s="74"/>
      <c r="S182" s="63"/>
    </row>
    <row r="183" spans="2:19" ht="25" customHeight="1" x14ac:dyDescent="0.35">
      <c r="B183" s="70"/>
      <c r="C183" s="71"/>
      <c r="D183" s="71"/>
      <c r="E183" s="88"/>
      <c r="F183" s="71"/>
      <c r="G183" s="71"/>
      <c r="H183" s="63"/>
      <c r="I183" s="63"/>
      <c r="J183" s="63"/>
      <c r="K183" s="64"/>
      <c r="L183" s="64"/>
      <c r="M183" s="64"/>
      <c r="N183" s="64"/>
      <c r="O183" s="64"/>
      <c r="P183" s="74"/>
      <c r="Q183" s="74"/>
      <c r="R183" s="74"/>
      <c r="S183" s="63"/>
    </row>
    <row r="184" spans="2:19" ht="25" customHeight="1" x14ac:dyDescent="0.35">
      <c r="B184" s="70"/>
      <c r="C184" s="71"/>
      <c r="D184" s="71"/>
      <c r="E184" s="88"/>
      <c r="F184" s="71"/>
      <c r="G184" s="71"/>
      <c r="H184" s="63"/>
      <c r="I184" s="63"/>
      <c r="J184" s="63"/>
      <c r="K184" s="64"/>
      <c r="L184" s="64"/>
      <c r="M184" s="64"/>
      <c r="N184" s="64"/>
      <c r="O184" s="64"/>
      <c r="P184" s="74"/>
      <c r="Q184" s="74"/>
      <c r="R184" s="74"/>
      <c r="S184" s="63"/>
    </row>
    <row r="185" spans="2:19" ht="25" customHeight="1" x14ac:dyDescent="0.35">
      <c r="B185" s="70"/>
      <c r="C185" s="71"/>
      <c r="D185" s="71"/>
      <c r="E185" s="88"/>
      <c r="F185" s="71"/>
      <c r="G185" s="71"/>
      <c r="H185" s="63"/>
      <c r="I185" s="63"/>
      <c r="J185" s="63"/>
      <c r="K185" s="64"/>
      <c r="L185" s="64"/>
      <c r="M185" s="64"/>
      <c r="N185" s="64"/>
      <c r="O185" s="64"/>
      <c r="P185" s="74"/>
      <c r="Q185" s="74"/>
      <c r="R185" s="74"/>
      <c r="S185" s="63"/>
    </row>
    <row r="186" spans="2:19" ht="25" customHeight="1" x14ac:dyDescent="0.35">
      <c r="B186" s="70"/>
      <c r="C186" s="71"/>
      <c r="D186" s="71"/>
      <c r="E186" s="88"/>
      <c r="F186" s="71"/>
      <c r="G186" s="71"/>
      <c r="H186" s="63"/>
      <c r="I186" s="63"/>
      <c r="J186" s="63"/>
      <c r="K186" s="64"/>
      <c r="L186" s="64"/>
      <c r="M186" s="64"/>
      <c r="N186" s="64"/>
      <c r="O186" s="64"/>
      <c r="P186" s="74"/>
      <c r="Q186" s="74"/>
      <c r="R186" s="74"/>
      <c r="S186" s="63"/>
    </row>
    <row r="187" spans="2:19" ht="25" customHeight="1" x14ac:dyDescent="0.35">
      <c r="B187" s="70"/>
      <c r="C187" s="71"/>
      <c r="D187" s="71"/>
      <c r="E187" s="88"/>
      <c r="F187" s="71"/>
      <c r="G187" s="71"/>
      <c r="H187" s="63"/>
      <c r="I187" s="63"/>
      <c r="J187" s="63"/>
      <c r="K187" s="64"/>
      <c r="L187" s="64"/>
      <c r="M187" s="64"/>
      <c r="N187" s="64"/>
      <c r="O187" s="64"/>
      <c r="P187" s="74"/>
      <c r="Q187" s="74"/>
      <c r="R187" s="74"/>
      <c r="S187" s="63"/>
    </row>
    <row r="188" spans="2:19" ht="25" customHeight="1" x14ac:dyDescent="0.35">
      <c r="B188" s="70"/>
      <c r="C188" s="71"/>
      <c r="D188" s="71"/>
      <c r="E188" s="88"/>
      <c r="F188" s="71"/>
      <c r="G188" s="71"/>
      <c r="H188" s="63"/>
      <c r="I188" s="63"/>
      <c r="J188" s="63"/>
      <c r="K188" s="64"/>
      <c r="L188" s="64"/>
      <c r="M188" s="64"/>
      <c r="N188" s="64"/>
      <c r="O188" s="64"/>
      <c r="P188" s="74"/>
      <c r="Q188" s="74"/>
      <c r="R188" s="74"/>
      <c r="S188" s="63"/>
    </row>
    <row r="189" spans="2:19" ht="25" customHeight="1" x14ac:dyDescent="0.35">
      <c r="B189" s="70"/>
      <c r="C189" s="71"/>
      <c r="D189" s="71"/>
      <c r="E189" s="88"/>
      <c r="F189" s="71"/>
      <c r="G189" s="71"/>
      <c r="H189" s="63"/>
      <c r="I189" s="63"/>
      <c r="J189" s="63"/>
      <c r="K189" s="64"/>
      <c r="L189" s="64"/>
      <c r="M189" s="64"/>
      <c r="N189" s="64"/>
      <c r="O189" s="64"/>
      <c r="P189" s="74"/>
      <c r="Q189" s="74"/>
      <c r="R189" s="74"/>
      <c r="S189" s="63"/>
    </row>
    <row r="190" spans="2:19" ht="25" customHeight="1" x14ac:dyDescent="0.35">
      <c r="B190" s="70"/>
      <c r="C190" s="71"/>
      <c r="D190" s="71"/>
      <c r="E190" s="88"/>
      <c r="F190" s="71"/>
      <c r="G190" s="71"/>
      <c r="H190" s="63"/>
      <c r="I190" s="63"/>
      <c r="J190" s="63"/>
      <c r="K190" s="64"/>
      <c r="L190" s="64"/>
      <c r="M190" s="64"/>
      <c r="N190" s="64"/>
      <c r="O190" s="64"/>
      <c r="P190" s="74"/>
      <c r="Q190" s="74"/>
      <c r="R190" s="74"/>
      <c r="S190" s="63"/>
    </row>
    <row r="191" spans="2:19" ht="25" customHeight="1" x14ac:dyDescent="0.35">
      <c r="B191" s="70"/>
      <c r="C191" s="71"/>
      <c r="D191" s="71"/>
      <c r="E191" s="88"/>
      <c r="F191" s="71"/>
      <c r="G191" s="71"/>
      <c r="H191" s="63"/>
      <c r="I191" s="63"/>
      <c r="J191" s="63"/>
      <c r="K191" s="64"/>
      <c r="L191" s="64"/>
      <c r="M191" s="64"/>
      <c r="N191" s="64"/>
      <c r="O191" s="64"/>
      <c r="P191" s="74"/>
      <c r="Q191" s="74"/>
      <c r="R191" s="74"/>
      <c r="S191" s="63"/>
    </row>
    <row r="192" spans="2:19" ht="25" customHeight="1" x14ac:dyDescent="0.35">
      <c r="B192" s="70"/>
      <c r="C192" s="71"/>
      <c r="D192" s="71"/>
      <c r="E192" s="88"/>
      <c r="F192" s="71"/>
      <c r="G192" s="71"/>
      <c r="H192" s="63"/>
      <c r="I192" s="63"/>
      <c r="J192" s="63"/>
      <c r="K192" s="64"/>
      <c r="L192" s="64"/>
      <c r="M192" s="64"/>
      <c r="N192" s="64"/>
      <c r="O192" s="64"/>
      <c r="P192" s="74"/>
      <c r="Q192" s="74"/>
      <c r="R192" s="74"/>
      <c r="S192" s="63"/>
    </row>
    <row r="193" spans="2:19" ht="25" customHeight="1" x14ac:dyDescent="0.35">
      <c r="B193" s="70"/>
      <c r="C193" s="71"/>
      <c r="D193" s="71"/>
      <c r="E193" s="88"/>
      <c r="F193" s="71"/>
      <c r="G193" s="71"/>
      <c r="H193" s="63"/>
      <c r="I193" s="63"/>
      <c r="J193" s="63"/>
      <c r="K193" s="64"/>
      <c r="L193" s="64"/>
      <c r="M193" s="64"/>
      <c r="N193" s="64"/>
      <c r="O193" s="64"/>
      <c r="P193" s="74"/>
      <c r="Q193" s="74"/>
      <c r="R193" s="74"/>
      <c r="S193" s="63"/>
    </row>
    <row r="194" spans="2:19" ht="25" customHeight="1" x14ac:dyDescent="0.35">
      <c r="B194" s="70"/>
      <c r="C194" s="71"/>
      <c r="D194" s="71"/>
      <c r="E194" s="88"/>
      <c r="F194" s="71"/>
      <c r="G194" s="71"/>
      <c r="H194" s="63"/>
      <c r="I194" s="63"/>
      <c r="J194" s="63"/>
      <c r="K194" s="64"/>
      <c r="L194" s="64"/>
      <c r="M194" s="64"/>
      <c r="N194" s="64"/>
      <c r="O194" s="64"/>
      <c r="P194" s="74"/>
      <c r="Q194" s="74"/>
      <c r="R194" s="74"/>
      <c r="S194" s="63"/>
    </row>
    <row r="195" spans="2:19" ht="25" customHeight="1" x14ac:dyDescent="0.35">
      <c r="B195" s="70"/>
      <c r="C195" s="71"/>
      <c r="D195" s="71"/>
      <c r="E195" s="88"/>
      <c r="F195" s="71"/>
      <c r="G195" s="71"/>
      <c r="H195" s="63"/>
      <c r="I195" s="63"/>
      <c r="J195" s="63"/>
      <c r="K195" s="64"/>
      <c r="L195" s="64"/>
      <c r="M195" s="64"/>
      <c r="N195" s="64"/>
      <c r="O195" s="64"/>
      <c r="P195" s="74"/>
      <c r="Q195" s="74"/>
      <c r="R195" s="74"/>
      <c r="S195" s="63"/>
    </row>
    <row r="196" spans="2:19" ht="25" customHeight="1" x14ac:dyDescent="0.35">
      <c r="B196" s="70"/>
      <c r="C196" s="71"/>
      <c r="D196" s="71"/>
      <c r="E196" s="88"/>
      <c r="F196" s="71"/>
      <c r="G196" s="71"/>
      <c r="H196" s="63"/>
      <c r="I196" s="63"/>
      <c r="J196" s="63"/>
      <c r="K196" s="64"/>
      <c r="L196" s="64"/>
      <c r="M196" s="64"/>
      <c r="N196" s="64"/>
      <c r="O196" s="64"/>
      <c r="P196" s="74"/>
      <c r="Q196" s="74"/>
      <c r="R196" s="74"/>
      <c r="S196" s="63"/>
    </row>
    <row r="197" spans="2:19" ht="25" customHeight="1" x14ac:dyDescent="0.35">
      <c r="B197" s="70"/>
      <c r="C197" s="71"/>
      <c r="D197" s="71"/>
      <c r="E197" s="88"/>
      <c r="F197" s="71"/>
      <c r="G197" s="71"/>
      <c r="H197" s="63"/>
      <c r="I197" s="63"/>
      <c r="J197" s="63"/>
      <c r="K197" s="64"/>
      <c r="L197" s="64"/>
      <c r="M197" s="64"/>
      <c r="N197" s="64"/>
      <c r="O197" s="64"/>
      <c r="P197" s="74"/>
      <c r="Q197" s="74"/>
      <c r="R197" s="74"/>
      <c r="S197" s="63"/>
    </row>
    <row r="198" spans="2:19" ht="25" customHeight="1" x14ac:dyDescent="0.35">
      <c r="B198" s="70"/>
      <c r="C198" s="71"/>
      <c r="D198" s="71"/>
      <c r="E198" s="88"/>
      <c r="F198" s="71"/>
      <c r="G198" s="71"/>
      <c r="H198" s="63"/>
      <c r="I198" s="63"/>
      <c r="J198" s="63"/>
      <c r="K198" s="64"/>
      <c r="L198" s="64"/>
      <c r="M198" s="64"/>
      <c r="N198" s="64"/>
      <c r="O198" s="64"/>
      <c r="P198" s="74"/>
      <c r="Q198" s="74"/>
      <c r="R198" s="74"/>
      <c r="S198" s="63"/>
    </row>
    <row r="199" spans="2:19" ht="25" customHeight="1" x14ac:dyDescent="0.35">
      <c r="B199" s="70"/>
      <c r="C199" s="71"/>
      <c r="D199" s="71"/>
      <c r="E199" s="88"/>
      <c r="F199" s="71"/>
      <c r="G199" s="71"/>
      <c r="H199" s="63"/>
      <c r="I199" s="63"/>
      <c r="J199" s="63"/>
      <c r="K199" s="64"/>
      <c r="L199" s="64"/>
      <c r="M199" s="64"/>
      <c r="N199" s="64"/>
      <c r="O199" s="64"/>
      <c r="P199" s="74"/>
      <c r="Q199" s="74"/>
      <c r="R199" s="74"/>
      <c r="S199" s="63"/>
    </row>
    <row r="200" spans="2:19" ht="25" customHeight="1" x14ac:dyDescent="0.35">
      <c r="B200" s="70"/>
      <c r="C200" s="71"/>
      <c r="D200" s="71"/>
      <c r="E200" s="88"/>
      <c r="F200" s="71"/>
      <c r="G200" s="71"/>
      <c r="H200" s="63"/>
      <c r="I200" s="63"/>
      <c r="J200" s="63"/>
      <c r="K200" s="64"/>
      <c r="L200" s="64"/>
      <c r="M200" s="64"/>
      <c r="N200" s="64"/>
      <c r="O200" s="64"/>
      <c r="P200" s="74"/>
      <c r="Q200" s="74"/>
      <c r="R200" s="74"/>
      <c r="S200" s="63"/>
    </row>
    <row r="201" spans="2:19" ht="25" customHeight="1" x14ac:dyDescent="0.35">
      <c r="B201" s="70"/>
      <c r="C201" s="71"/>
      <c r="D201" s="71"/>
      <c r="E201" s="88"/>
      <c r="F201" s="71"/>
      <c r="G201" s="71"/>
      <c r="H201" s="63"/>
      <c r="I201" s="63"/>
      <c r="J201" s="63"/>
      <c r="K201" s="64"/>
      <c r="L201" s="64"/>
      <c r="M201" s="64"/>
      <c r="N201" s="64"/>
      <c r="O201" s="64"/>
      <c r="P201" s="74"/>
      <c r="Q201" s="74"/>
      <c r="R201" s="74"/>
      <c r="S201" s="63"/>
    </row>
    <row r="202" spans="2:19" ht="25" customHeight="1" x14ac:dyDescent="0.35">
      <c r="B202" s="70"/>
      <c r="C202" s="71"/>
      <c r="D202" s="71"/>
      <c r="E202" s="88"/>
      <c r="F202" s="71"/>
      <c r="G202" s="71"/>
      <c r="H202" s="63"/>
      <c r="I202" s="63"/>
      <c r="J202" s="63"/>
      <c r="K202" s="64"/>
      <c r="L202" s="64"/>
      <c r="M202" s="64"/>
      <c r="N202" s="64"/>
      <c r="O202" s="64"/>
      <c r="P202" s="74"/>
      <c r="Q202" s="74"/>
      <c r="R202" s="74"/>
      <c r="S202" s="63"/>
    </row>
    <row r="203" spans="2:19" ht="25" customHeight="1" x14ac:dyDescent="0.35">
      <c r="B203" s="70"/>
      <c r="C203" s="71"/>
      <c r="D203" s="71"/>
      <c r="E203" s="88"/>
      <c r="F203" s="71"/>
      <c r="G203" s="71"/>
      <c r="H203" s="63"/>
      <c r="I203" s="63"/>
      <c r="J203" s="63"/>
      <c r="K203" s="64"/>
      <c r="L203" s="64"/>
      <c r="M203" s="64"/>
      <c r="N203" s="64"/>
      <c r="O203" s="64"/>
      <c r="P203" s="74"/>
      <c r="Q203" s="74"/>
      <c r="R203" s="74"/>
      <c r="S203" s="63"/>
    </row>
    <row r="204" spans="2:19" ht="25" customHeight="1" x14ac:dyDescent="0.35">
      <c r="B204" s="70"/>
      <c r="C204" s="71"/>
      <c r="D204" s="71"/>
      <c r="E204" s="88"/>
      <c r="F204" s="71"/>
      <c r="G204" s="71"/>
      <c r="H204" s="63"/>
      <c r="I204" s="63"/>
      <c r="J204" s="63"/>
      <c r="K204" s="64"/>
      <c r="L204" s="64"/>
      <c r="M204" s="64"/>
      <c r="N204" s="64"/>
      <c r="O204" s="64"/>
      <c r="P204" s="74"/>
      <c r="Q204" s="74"/>
      <c r="R204" s="74"/>
      <c r="S204" s="63"/>
    </row>
    <row r="205" spans="2:19" ht="25" customHeight="1" x14ac:dyDescent="0.35">
      <c r="B205" s="70"/>
      <c r="C205" s="71"/>
      <c r="D205" s="71"/>
      <c r="E205" s="88"/>
      <c r="F205" s="71"/>
      <c r="G205" s="71"/>
      <c r="H205" s="63"/>
      <c r="I205" s="63"/>
      <c r="J205" s="63"/>
      <c r="K205" s="64"/>
      <c r="L205" s="64"/>
      <c r="M205" s="64"/>
      <c r="N205" s="64"/>
      <c r="O205" s="64"/>
      <c r="P205" s="74"/>
      <c r="Q205" s="74"/>
      <c r="R205" s="74"/>
      <c r="S205" s="63"/>
    </row>
    <row r="206" spans="2:19" ht="25" customHeight="1" x14ac:dyDescent="0.35">
      <c r="B206" s="70"/>
      <c r="C206" s="71"/>
      <c r="D206" s="71"/>
      <c r="E206" s="88"/>
      <c r="F206" s="71"/>
      <c r="G206" s="71"/>
      <c r="H206" s="63"/>
      <c r="I206" s="63"/>
      <c r="J206" s="63"/>
      <c r="K206" s="64"/>
      <c r="L206" s="64"/>
      <c r="M206" s="64"/>
      <c r="N206" s="64"/>
      <c r="O206" s="64"/>
      <c r="P206" s="74"/>
      <c r="Q206" s="74"/>
      <c r="R206" s="74"/>
      <c r="S206" s="63"/>
    </row>
    <row r="207" spans="2:19" ht="25" customHeight="1" x14ac:dyDescent="0.35">
      <c r="B207" s="70"/>
      <c r="C207" s="71"/>
      <c r="D207" s="71"/>
      <c r="E207" s="88"/>
      <c r="F207" s="71"/>
      <c r="G207" s="71"/>
      <c r="H207" s="63"/>
      <c r="I207" s="63"/>
      <c r="J207" s="63"/>
      <c r="K207" s="64"/>
      <c r="L207" s="64"/>
      <c r="M207" s="64"/>
      <c r="N207" s="64"/>
      <c r="O207" s="64"/>
      <c r="P207" s="74"/>
      <c r="Q207" s="74"/>
      <c r="R207" s="74"/>
      <c r="S207" s="63"/>
    </row>
    <row r="208" spans="2:19" ht="25" customHeight="1" x14ac:dyDescent="0.35">
      <c r="B208" s="70"/>
      <c r="C208" s="71"/>
      <c r="D208" s="71"/>
      <c r="E208" s="88"/>
      <c r="F208" s="71"/>
      <c r="G208" s="71"/>
      <c r="H208" s="63"/>
      <c r="I208" s="63"/>
      <c r="J208" s="63"/>
      <c r="K208" s="64"/>
      <c r="L208" s="64"/>
      <c r="M208" s="64"/>
      <c r="N208" s="64"/>
      <c r="O208" s="64"/>
      <c r="P208" s="74"/>
      <c r="Q208" s="74"/>
      <c r="R208" s="74"/>
      <c r="S208" s="63"/>
    </row>
    <row r="209" spans="2:19" ht="25" customHeight="1" x14ac:dyDescent="0.35">
      <c r="B209" s="70"/>
      <c r="C209" s="71"/>
      <c r="D209" s="71"/>
      <c r="E209" s="88"/>
      <c r="F209" s="71"/>
      <c r="G209" s="71"/>
      <c r="H209" s="63"/>
      <c r="I209" s="63"/>
      <c r="J209" s="63"/>
      <c r="K209" s="64"/>
      <c r="L209" s="64"/>
      <c r="M209" s="64"/>
      <c r="N209" s="64"/>
      <c r="O209" s="64"/>
      <c r="P209" s="74"/>
      <c r="Q209" s="74"/>
      <c r="R209" s="74"/>
      <c r="S209" s="63"/>
    </row>
    <row r="210" spans="2:19" ht="25" customHeight="1" x14ac:dyDescent="0.35">
      <c r="B210" s="70"/>
      <c r="C210" s="71"/>
      <c r="D210" s="71"/>
      <c r="E210" s="88"/>
      <c r="F210" s="71"/>
      <c r="G210" s="71"/>
      <c r="H210" s="63"/>
      <c r="I210" s="63"/>
      <c r="J210" s="63"/>
      <c r="K210" s="64"/>
      <c r="L210" s="64"/>
      <c r="M210" s="64"/>
      <c r="N210" s="64"/>
      <c r="O210" s="64"/>
      <c r="P210" s="74"/>
      <c r="Q210" s="74"/>
      <c r="R210" s="74"/>
      <c r="S210" s="63"/>
    </row>
    <row r="211" spans="2:19" ht="25" customHeight="1" x14ac:dyDescent="0.35">
      <c r="B211" s="70"/>
      <c r="C211" s="71"/>
      <c r="D211" s="71"/>
      <c r="E211" s="88"/>
      <c r="F211" s="71"/>
      <c r="G211" s="71"/>
      <c r="H211" s="63"/>
      <c r="I211" s="63"/>
      <c r="J211" s="63"/>
      <c r="K211" s="64"/>
      <c r="L211" s="64"/>
      <c r="M211" s="64"/>
      <c r="N211" s="64"/>
      <c r="O211" s="64"/>
      <c r="P211" s="74"/>
      <c r="Q211" s="74"/>
      <c r="R211" s="74"/>
      <c r="S211" s="63"/>
    </row>
    <row r="212" spans="2:19" ht="25" customHeight="1" x14ac:dyDescent="0.35">
      <c r="B212" s="70"/>
      <c r="C212" s="71"/>
      <c r="D212" s="71"/>
      <c r="E212" s="88"/>
      <c r="F212" s="71"/>
      <c r="G212" s="71"/>
      <c r="H212" s="63"/>
      <c r="I212" s="63"/>
      <c r="J212" s="63"/>
      <c r="K212" s="64"/>
      <c r="L212" s="64"/>
      <c r="M212" s="64"/>
      <c r="N212" s="64"/>
      <c r="O212" s="64"/>
      <c r="P212" s="74"/>
      <c r="Q212" s="74"/>
      <c r="R212" s="74"/>
      <c r="S212" s="63"/>
    </row>
    <row r="213" spans="2:19" ht="25" customHeight="1" x14ac:dyDescent="0.35">
      <c r="B213" s="70"/>
      <c r="C213" s="71"/>
      <c r="D213" s="71"/>
      <c r="E213" s="88"/>
      <c r="F213" s="71"/>
      <c r="G213" s="71"/>
      <c r="H213" s="63"/>
      <c r="I213" s="63"/>
      <c r="J213" s="63"/>
      <c r="K213" s="64"/>
      <c r="L213" s="64"/>
      <c r="M213" s="64"/>
      <c r="N213" s="64"/>
      <c r="O213" s="64"/>
      <c r="P213" s="74"/>
      <c r="Q213" s="74"/>
      <c r="R213" s="74"/>
      <c r="S213" s="63"/>
    </row>
    <row r="214" spans="2:19" ht="25" customHeight="1" x14ac:dyDescent="0.35">
      <c r="B214" s="70"/>
      <c r="C214" s="71"/>
      <c r="D214" s="71"/>
      <c r="E214" s="88"/>
      <c r="F214" s="71"/>
      <c r="G214" s="71"/>
      <c r="H214" s="63"/>
      <c r="I214" s="63"/>
      <c r="J214" s="63"/>
      <c r="K214" s="64"/>
      <c r="L214" s="64"/>
      <c r="M214" s="64"/>
      <c r="N214" s="64"/>
      <c r="O214" s="64"/>
      <c r="P214" s="74"/>
      <c r="Q214" s="74"/>
      <c r="R214" s="74"/>
      <c r="S214" s="63"/>
    </row>
    <row r="215" spans="2:19" ht="25" customHeight="1" x14ac:dyDescent="0.35">
      <c r="B215" s="70"/>
      <c r="C215" s="71"/>
      <c r="D215" s="71"/>
      <c r="E215" s="88"/>
      <c r="F215" s="71"/>
      <c r="G215" s="71"/>
      <c r="H215" s="63"/>
      <c r="I215" s="63"/>
      <c r="J215" s="63"/>
      <c r="K215" s="64"/>
      <c r="L215" s="64"/>
      <c r="M215" s="64"/>
      <c r="N215" s="64"/>
      <c r="O215" s="64"/>
      <c r="P215" s="74"/>
      <c r="Q215" s="74"/>
      <c r="R215" s="74"/>
      <c r="S215" s="63"/>
    </row>
    <row r="216" spans="2:19" ht="25" customHeight="1" x14ac:dyDescent="0.35">
      <c r="B216" s="70"/>
      <c r="C216" s="71"/>
      <c r="D216" s="71"/>
      <c r="E216" s="88"/>
      <c r="F216" s="71"/>
      <c r="G216" s="71"/>
      <c r="H216" s="63"/>
      <c r="I216" s="63"/>
      <c r="J216" s="63"/>
      <c r="K216" s="64"/>
      <c r="L216" s="64"/>
      <c r="M216" s="64"/>
      <c r="N216" s="64"/>
      <c r="O216" s="64"/>
      <c r="P216" s="74"/>
      <c r="Q216" s="74"/>
      <c r="R216" s="74"/>
      <c r="S216" s="63"/>
    </row>
    <row r="217" spans="2:19" ht="25" customHeight="1" x14ac:dyDescent="0.35">
      <c r="B217" s="70"/>
      <c r="C217" s="71"/>
      <c r="D217" s="71"/>
      <c r="E217" s="88"/>
      <c r="F217" s="71"/>
      <c r="G217" s="71"/>
      <c r="H217" s="63"/>
      <c r="I217" s="63"/>
      <c r="J217" s="63"/>
      <c r="K217" s="64"/>
      <c r="L217" s="64"/>
      <c r="M217" s="64"/>
      <c r="N217" s="64"/>
      <c r="O217" s="64"/>
      <c r="P217" s="74"/>
      <c r="Q217" s="74"/>
      <c r="R217" s="74"/>
      <c r="S217" s="63"/>
    </row>
    <row r="218" spans="2:19" ht="25" customHeight="1" x14ac:dyDescent="0.35">
      <c r="B218" s="70"/>
      <c r="C218" s="71"/>
      <c r="D218" s="71"/>
      <c r="E218" s="88"/>
      <c r="F218" s="71"/>
      <c r="G218" s="71"/>
      <c r="H218" s="63"/>
      <c r="I218" s="63"/>
      <c r="J218" s="63"/>
      <c r="K218" s="64"/>
      <c r="L218" s="64"/>
      <c r="M218" s="64"/>
      <c r="N218" s="64"/>
      <c r="O218" s="64"/>
      <c r="P218" s="74"/>
      <c r="Q218" s="74"/>
      <c r="R218" s="74"/>
      <c r="S218" s="63"/>
    </row>
    <row r="219" spans="2:19" ht="25" customHeight="1" x14ac:dyDescent="0.35">
      <c r="B219" s="70"/>
      <c r="C219" s="71"/>
      <c r="D219" s="71"/>
      <c r="E219" s="88"/>
      <c r="F219" s="71"/>
      <c r="G219" s="71"/>
      <c r="H219" s="63"/>
      <c r="I219" s="63"/>
      <c r="J219" s="63"/>
      <c r="K219" s="64"/>
      <c r="L219" s="64"/>
      <c r="M219" s="64"/>
      <c r="N219" s="64"/>
      <c r="O219" s="64"/>
      <c r="P219" s="74"/>
      <c r="Q219" s="74"/>
      <c r="R219" s="74"/>
      <c r="S219" s="63"/>
    </row>
    <row r="220" spans="2:19" ht="25" customHeight="1" x14ac:dyDescent="0.35">
      <c r="B220" s="70"/>
      <c r="C220" s="71"/>
      <c r="D220" s="71"/>
      <c r="E220" s="88"/>
      <c r="F220" s="71"/>
      <c r="G220" s="71"/>
      <c r="H220" s="63"/>
      <c r="I220" s="63"/>
      <c r="J220" s="63"/>
      <c r="K220" s="64"/>
      <c r="L220" s="64"/>
      <c r="M220" s="64"/>
      <c r="N220" s="64"/>
      <c r="O220" s="64"/>
      <c r="P220" s="74"/>
      <c r="Q220" s="74"/>
      <c r="R220" s="74"/>
      <c r="S220" s="63"/>
    </row>
  </sheetData>
  <mergeCells count="5">
    <mergeCell ref="B2:E2"/>
    <mergeCell ref="K2:O2"/>
    <mergeCell ref="H2:J2"/>
    <mergeCell ref="P2:R2"/>
    <mergeCell ref="F3:G3"/>
  </mergeCells>
  <conditionalFormatting sqref="T5:T12">
    <cfRule type="cellIs" dxfId="26" priority="4" operator="between">
      <formula>21</formula>
      <formula>40</formula>
    </cfRule>
  </conditionalFormatting>
  <conditionalFormatting sqref="T13:T29">
    <cfRule type="cellIs" dxfId="25" priority="3" operator="between">
      <formula>21</formula>
      <formula>40</formula>
    </cfRule>
  </conditionalFormatting>
  <conditionalFormatting sqref="P6:S29">
    <cfRule type="cellIs" dxfId="24" priority="1" operator="equal">
      <formula>2</formula>
    </cfRule>
    <cfRule type="cellIs" dxfId="23" priority="2" operator="equal">
      <formula>1</formula>
    </cfRule>
  </conditionalFormatting>
  <pageMargins left="0.7" right="0.7" top="0.75" bottom="0.75" header="0.3" footer="0.3"/>
  <pageSetup orientation="landscape" r:id="rId1"/>
  <headerFooter>
    <oddFooter>&amp;L&amp;1#&amp;"Calibri"&amp;9&amp;K000000INTERNAL. This information is accessible to ADB Management and staff. It may be shared outside ADB with appropriate permission.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'Asset Condition Ratings'!$C$2:$C$7</xm:f>
          </x14:formula1>
          <xm:sqref>P201</xm:sqref>
        </x14:dataValidation>
        <x14:dataValidation type="list" allowBlank="1" showInputMessage="1" showErrorMessage="1" xr:uid="{00000000-0002-0000-0300-000001000000}">
          <x14:formula1>
            <xm:f>'Asset Condition Ratings'!$C$11:$C$16</xm:f>
          </x14:formula1>
          <xm:sqref>M201:O201</xm:sqref>
        </x14:dataValidation>
        <x14:dataValidation type="list" allowBlank="1" showInputMessage="1" showErrorMessage="1" xr:uid="{00000000-0002-0000-0300-000002000000}">
          <x14:formula1>
            <xm:f>'Validation Lists'!$B$18:$B$79</xm:f>
          </x14:formula1>
          <xm:sqref>E4:E201</xm:sqref>
        </x14:dataValidation>
        <x14:dataValidation type="list" allowBlank="1" showInputMessage="1" showErrorMessage="1" xr:uid="{00000000-0002-0000-0300-000003000000}">
          <x14:formula1>
            <xm:f>'Validation Lists'!$B$3:$B$16</xm:f>
          </x14:formula1>
          <xm:sqref>D201</xm:sqref>
        </x14:dataValidation>
        <x14:dataValidation type="list" allowBlank="1" showInputMessage="1" showErrorMessage="1" xr:uid="{00000000-0002-0000-0300-000004000000}">
          <x14:formula1>
            <xm:f>'Validation Lists'!$B$147:$B$149</xm:f>
          </x14:formula1>
          <xm:sqref>J4:K200</xm:sqref>
        </x14:dataValidation>
        <x14:dataValidation type="list" allowBlank="1" showInputMessage="1" showErrorMessage="1" xr:uid="{00000000-0002-0000-0300-000005000000}">
          <x14:formula1>
            <xm:f>'Validation Lists'!$B$151:$B$153</xm:f>
          </x14:formula1>
          <xm:sqref>L4:L200</xm:sqref>
        </x14:dataValidation>
        <x14:dataValidation type="list" allowBlank="1" showInputMessage="1" showErrorMessage="1" xr:uid="{00000000-0002-0000-0300-000006000000}">
          <x14:formula1>
            <xm:f>'Asset Condition Ratings'!$C$6:$C$10</xm:f>
          </x14:formula1>
          <xm:sqref>M4:O200</xm:sqref>
        </x14:dataValidation>
        <x14:dataValidation type="list" allowBlank="1" showInputMessage="1" showErrorMessage="1" xr:uid="{00000000-0002-0000-0300-000007000000}">
          <x14:formula1>
            <xm:f>'Asset Functional Ratings'!$C$6:$C$10</xm:f>
          </x14:formula1>
          <xm:sqref>P4:P200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217"/>
  <sheetViews>
    <sheetView zoomScale="120" zoomScaleNormal="120" workbookViewId="0">
      <pane xSplit="5" ySplit="3" topLeftCell="L4" activePane="bottomRight" state="frozen"/>
      <selection pane="topRight" activeCell="F1" sqref="F1"/>
      <selection pane="bottomLeft" activeCell="A4" sqref="A4"/>
      <selection pane="bottomRight" activeCell="V1" sqref="V1"/>
    </sheetView>
  </sheetViews>
  <sheetFormatPr defaultColWidth="8.81640625" defaultRowHeight="14" x14ac:dyDescent="0.35"/>
  <cols>
    <col min="1" max="1" width="5.453125" style="132" customWidth="1"/>
    <col min="2" max="2" width="8.81640625" style="414"/>
    <col min="3" max="3" width="21.1796875" style="133" hidden="1" customWidth="1"/>
    <col min="4" max="4" width="10" style="133" customWidth="1"/>
    <col min="5" max="5" width="15.453125" style="414" customWidth="1"/>
    <col min="6" max="6" width="13.1796875" style="414" customWidth="1"/>
    <col min="7" max="7" width="16.81640625" style="133" hidden="1" customWidth="1"/>
    <col min="8" max="8" width="16.1796875" style="133" hidden="1" customWidth="1"/>
    <col min="9" max="9" width="13.81640625" style="133" customWidth="1"/>
    <col min="10" max="10" width="18.6328125" style="133" hidden="1" customWidth="1"/>
    <col min="11" max="11" width="36.1796875" style="414" hidden="1" customWidth="1"/>
    <col min="12" max="12" width="6.36328125" style="133" customWidth="1"/>
    <col min="13" max="13" width="8.6328125" style="133" customWidth="1"/>
    <col min="14" max="15" width="18.6328125" style="414" hidden="1" customWidth="1"/>
    <col min="16" max="17" width="9.6328125" style="133" customWidth="1"/>
    <col min="18" max="18" width="16.1796875" style="133" customWidth="1"/>
    <col min="19" max="20" width="10.453125" style="133" customWidth="1"/>
    <col min="21" max="21" width="16.1796875" style="132" customWidth="1"/>
    <col min="22" max="22" width="13.1796875" style="132" customWidth="1"/>
    <col min="23" max="27" width="8.81640625" style="132"/>
    <col min="28" max="28" width="11.36328125" style="132" customWidth="1"/>
    <col min="29" max="32" width="8.81640625" style="132"/>
    <col min="33" max="33" width="11.6328125" style="132" customWidth="1"/>
    <col min="34" max="16384" width="8.81640625" style="132"/>
  </cols>
  <sheetData>
    <row r="2" spans="2:34" ht="29" customHeight="1" x14ac:dyDescent="0.35">
      <c r="B2" s="475"/>
      <c r="C2" s="507"/>
      <c r="D2" s="507"/>
      <c r="E2" s="507"/>
      <c r="F2" s="476"/>
      <c r="G2" s="267"/>
      <c r="H2" s="267"/>
      <c r="I2" s="508"/>
      <c r="J2" s="509"/>
      <c r="K2" s="510"/>
      <c r="L2" s="511"/>
      <c r="M2" s="512"/>
      <c r="N2" s="512"/>
      <c r="O2" s="512"/>
      <c r="P2" s="513" t="s">
        <v>108</v>
      </c>
      <c r="Q2" s="514"/>
      <c r="R2" s="123"/>
      <c r="U2" s="417">
        <v>4750</v>
      </c>
      <c r="V2" s="418">
        <v>0.02</v>
      </c>
      <c r="Z2" s="132">
        <v>6</v>
      </c>
      <c r="AA2" s="132">
        <v>4</v>
      </c>
      <c r="AB2" s="132">
        <v>3</v>
      </c>
      <c r="AE2" s="132">
        <v>6</v>
      </c>
      <c r="AF2" s="132">
        <v>4</v>
      </c>
      <c r="AG2" s="132">
        <v>3</v>
      </c>
    </row>
    <row r="3" spans="2:34" ht="42" x14ac:dyDescent="0.3">
      <c r="B3" s="358" t="s">
        <v>20</v>
      </c>
      <c r="C3" s="149" t="s">
        <v>130</v>
      </c>
      <c r="D3" s="149" t="s">
        <v>131</v>
      </c>
      <c r="E3" s="149" t="s">
        <v>132</v>
      </c>
      <c r="F3" s="149" t="s">
        <v>121</v>
      </c>
      <c r="G3" s="149" t="s">
        <v>302</v>
      </c>
      <c r="H3" s="149" t="s">
        <v>303</v>
      </c>
      <c r="I3" s="153" t="s">
        <v>11</v>
      </c>
      <c r="J3" s="153" t="s">
        <v>122</v>
      </c>
      <c r="K3" s="153" t="s">
        <v>211</v>
      </c>
      <c r="L3" s="151" t="s">
        <v>116</v>
      </c>
      <c r="M3" s="151" t="s">
        <v>123</v>
      </c>
      <c r="N3" s="151" t="s">
        <v>133</v>
      </c>
      <c r="O3" s="151" t="s">
        <v>134</v>
      </c>
      <c r="P3" s="152" t="s">
        <v>13</v>
      </c>
      <c r="Q3" s="152" t="s">
        <v>129</v>
      </c>
      <c r="R3" s="152" t="s">
        <v>156</v>
      </c>
      <c r="S3" s="272" t="s">
        <v>1969</v>
      </c>
      <c r="T3" s="272"/>
      <c r="U3" s="419" t="s">
        <v>2690</v>
      </c>
      <c r="V3" s="419" t="s">
        <v>1971</v>
      </c>
      <c r="W3" s="108"/>
      <c r="X3" s="108"/>
      <c r="Y3" s="108"/>
      <c r="Z3" s="115" t="s">
        <v>13</v>
      </c>
      <c r="AA3" s="115" t="s">
        <v>129</v>
      </c>
      <c r="AB3" s="115" t="s">
        <v>156</v>
      </c>
      <c r="AC3" s="281" t="s">
        <v>1977</v>
      </c>
      <c r="AD3" s="108"/>
      <c r="AE3" s="115" t="s">
        <v>13</v>
      </c>
      <c r="AF3" s="115" t="s">
        <v>129</v>
      </c>
      <c r="AG3" s="115" t="s">
        <v>156</v>
      </c>
      <c r="AH3" s="281" t="s">
        <v>1978</v>
      </c>
    </row>
    <row r="4" spans="2:34" ht="25" customHeight="1" x14ac:dyDescent="0.35">
      <c r="B4" s="126" t="s">
        <v>1294</v>
      </c>
      <c r="C4" s="299" t="s">
        <v>92</v>
      </c>
      <c r="D4" s="299" t="s">
        <v>1295</v>
      </c>
      <c r="E4" s="126" t="s">
        <v>1296</v>
      </c>
      <c r="F4" s="126" t="s">
        <v>1253</v>
      </c>
      <c r="G4" s="140">
        <f>8+4/60+56/3600</f>
        <v>8.0822222222222226</v>
      </c>
      <c r="H4" s="140">
        <f>134+40/60+0/3600</f>
        <v>134.66666666666666</v>
      </c>
      <c r="I4" s="113">
        <v>2002</v>
      </c>
      <c r="J4" s="113" t="s">
        <v>311</v>
      </c>
      <c r="K4" s="128" t="s">
        <v>311</v>
      </c>
      <c r="L4" s="114">
        <v>115</v>
      </c>
      <c r="M4" s="114">
        <v>5</v>
      </c>
      <c r="N4" s="129" t="s">
        <v>298</v>
      </c>
      <c r="O4" s="129" t="s">
        <v>298</v>
      </c>
      <c r="P4" s="134">
        <v>5</v>
      </c>
      <c r="Q4" s="134">
        <v>5</v>
      </c>
      <c r="R4" s="134">
        <v>5</v>
      </c>
      <c r="S4" s="416">
        <f>ROUND(AC4/AH4*100,0)</f>
        <v>100</v>
      </c>
      <c r="T4" s="416"/>
      <c r="U4" s="420">
        <f>U$2*L4*M4</f>
        <v>2731250</v>
      </c>
      <c r="V4" s="420">
        <f>ROUND(V$2*U4,-2)</f>
        <v>54600</v>
      </c>
      <c r="W4" s="108"/>
      <c r="X4" s="108"/>
      <c r="Y4" s="108"/>
      <c r="Z4" s="278">
        <f>IF(OR(P4=1,P4=2,P4=3,P4=4,P4=5),P4,0)</f>
        <v>5</v>
      </c>
      <c r="AA4" s="278">
        <f>IF(OR(Q4=1,Q4=2,Q4=3,Q4=4,Q4=5),Q4,0)</f>
        <v>5</v>
      </c>
      <c r="AB4" s="278">
        <f>IF(OR(R4=1,R4=2,R4=3,R4=4,R4=5),R4,0)</f>
        <v>5</v>
      </c>
      <c r="AC4" s="278">
        <f>Z$2*Z4+AA$2*AA4+AB$2*AB4</f>
        <v>65</v>
      </c>
      <c r="AD4" s="278"/>
      <c r="AE4" s="278">
        <f>IF(OR(P4=1,P4=2,P4=3,P4=4,P4=5),5,0)</f>
        <v>5</v>
      </c>
      <c r="AF4" s="278">
        <f>IF(OR(Q4=1,Q4=2,Q4=3,Q4=4,Q4=5),5,0)</f>
        <v>5</v>
      </c>
      <c r="AG4" s="278">
        <f>IF(OR(R4=1,R4=2,R4=3,R4=4,R4=5),5,0)</f>
        <v>5</v>
      </c>
      <c r="AH4" s="278">
        <f>AE$2*AE4+AF$2*AF4+AG$2*AG4</f>
        <v>65</v>
      </c>
    </row>
    <row r="5" spans="2:34" ht="25" customHeight="1" x14ac:dyDescent="0.35">
      <c r="B5" s="126" t="s">
        <v>427</v>
      </c>
      <c r="C5" s="299" t="s">
        <v>92</v>
      </c>
      <c r="D5" s="299" t="s">
        <v>429</v>
      </c>
      <c r="E5" s="126" t="s">
        <v>430</v>
      </c>
      <c r="F5" s="126" t="s">
        <v>442</v>
      </c>
      <c r="G5" s="140">
        <f>7+43.13747/60</f>
        <v>7.7189578333333335</v>
      </c>
      <c r="H5" s="140">
        <f>134+36.50024/60</f>
        <v>134.60833733333334</v>
      </c>
      <c r="I5" s="113">
        <v>1989</v>
      </c>
      <c r="J5" s="113">
        <v>2011</v>
      </c>
      <c r="K5" s="128" t="s">
        <v>431</v>
      </c>
      <c r="L5" s="114">
        <v>73</v>
      </c>
      <c r="M5" s="114">
        <v>11.5</v>
      </c>
      <c r="N5" s="129" t="s">
        <v>298</v>
      </c>
      <c r="O5" s="129" t="s">
        <v>298</v>
      </c>
      <c r="P5" s="134">
        <v>4</v>
      </c>
      <c r="Q5" s="134">
        <v>4</v>
      </c>
      <c r="R5" s="134">
        <v>5</v>
      </c>
      <c r="S5" s="416">
        <f t="shared" ref="S5:S51" si="0">ROUND(AC5/AH5*100,0)</f>
        <v>85</v>
      </c>
      <c r="T5" s="416"/>
      <c r="U5" s="420">
        <f t="shared" ref="U5:U44" si="1">U$2*L5*M5</f>
        <v>3987625</v>
      </c>
      <c r="V5" s="420">
        <f t="shared" ref="V5:V44" si="2">ROUND(V$2*U5,-2)</f>
        <v>79800</v>
      </c>
      <c r="W5" s="281"/>
      <c r="X5" s="281"/>
      <c r="Y5" s="281"/>
      <c r="Z5" s="278">
        <f t="shared" ref="Z5:Z48" si="3">IF(OR(P5=1,P5=2,P5=3,P5=4,P5=5),P5,0)</f>
        <v>4</v>
      </c>
      <c r="AA5" s="278">
        <f t="shared" ref="AA5:AA48" si="4">IF(OR(Q5=1,Q5=2,Q5=3,Q5=4,Q5=5),Q5,0)</f>
        <v>4</v>
      </c>
      <c r="AB5" s="278">
        <f t="shared" ref="AB5:AB48" si="5">IF(OR(R5=1,R5=2,R5=3,R5=4,R5=5),R5,0)</f>
        <v>5</v>
      </c>
      <c r="AC5" s="278">
        <f t="shared" ref="AC5:AC48" si="6">Z$2*Z5+AA$2*AA5+AB$2*AB5</f>
        <v>55</v>
      </c>
      <c r="AD5" s="278"/>
      <c r="AE5" s="278">
        <f t="shared" ref="AE5:AE48" si="7">IF(OR(P5=1,P5=2,P5=3,P5=4,P5=5),5,0)</f>
        <v>5</v>
      </c>
      <c r="AF5" s="278">
        <f t="shared" ref="AF5:AF48" si="8">IF(OR(Q5=1,Q5=2,Q5=3,Q5=4,Q5=5),5,0)</f>
        <v>5</v>
      </c>
      <c r="AG5" s="278">
        <f t="shared" ref="AG5:AG48" si="9">IF(OR(R5=1,R5=2,R5=3,R5=4,R5=5),5,0)</f>
        <v>5</v>
      </c>
      <c r="AH5" s="278">
        <f t="shared" ref="AH5:AH48" si="10">AE$2*AE5+AF$2*AF5+AG$2*AG5</f>
        <v>65</v>
      </c>
    </row>
    <row r="6" spans="2:34" ht="25" customHeight="1" x14ac:dyDescent="0.35">
      <c r="B6" s="126" t="s">
        <v>443</v>
      </c>
      <c r="C6" s="299" t="s">
        <v>92</v>
      </c>
      <c r="D6" s="299" t="s">
        <v>182</v>
      </c>
      <c r="E6" s="126" t="s">
        <v>444</v>
      </c>
      <c r="F6" s="126" t="s">
        <v>442</v>
      </c>
      <c r="G6" s="140">
        <f>7+41/60+14/3600</f>
        <v>7.6872222222222222</v>
      </c>
      <c r="H6" s="140">
        <f>134+37/60+30/3600</f>
        <v>134.625</v>
      </c>
      <c r="I6" s="113">
        <v>2006</v>
      </c>
      <c r="J6" s="113" t="s">
        <v>311</v>
      </c>
      <c r="K6" s="128" t="s">
        <v>311</v>
      </c>
      <c r="L6" s="114">
        <v>320</v>
      </c>
      <c r="M6" s="114">
        <v>8</v>
      </c>
      <c r="N6" s="129" t="s">
        <v>298</v>
      </c>
      <c r="O6" s="129" t="s">
        <v>298</v>
      </c>
      <c r="P6" s="134">
        <v>4</v>
      </c>
      <c r="Q6" s="134">
        <v>3</v>
      </c>
      <c r="R6" s="134">
        <v>4</v>
      </c>
      <c r="S6" s="416">
        <f t="shared" si="0"/>
        <v>74</v>
      </c>
      <c r="T6" s="416"/>
      <c r="U6" s="420">
        <f t="shared" si="1"/>
        <v>12160000</v>
      </c>
      <c r="V6" s="420">
        <f t="shared" si="2"/>
        <v>243200</v>
      </c>
      <c r="W6" s="281"/>
      <c r="X6" s="281"/>
      <c r="Y6" s="281"/>
      <c r="Z6" s="278">
        <f t="shared" si="3"/>
        <v>4</v>
      </c>
      <c r="AA6" s="278">
        <f t="shared" si="4"/>
        <v>3</v>
      </c>
      <c r="AB6" s="278">
        <f t="shared" si="5"/>
        <v>4</v>
      </c>
      <c r="AC6" s="278">
        <f t="shared" si="6"/>
        <v>48</v>
      </c>
      <c r="AD6" s="278"/>
      <c r="AE6" s="278">
        <f t="shared" si="7"/>
        <v>5</v>
      </c>
      <c r="AF6" s="278">
        <f t="shared" si="8"/>
        <v>5</v>
      </c>
      <c r="AG6" s="278">
        <f t="shared" si="9"/>
        <v>5</v>
      </c>
      <c r="AH6" s="278">
        <f t="shared" si="10"/>
        <v>65</v>
      </c>
    </row>
    <row r="7" spans="2:34" ht="25" customHeight="1" x14ac:dyDescent="0.35">
      <c r="B7" s="126" t="s">
        <v>445</v>
      </c>
      <c r="C7" s="299" t="s">
        <v>92</v>
      </c>
      <c r="D7" s="299" t="s">
        <v>429</v>
      </c>
      <c r="E7" s="126" t="s">
        <v>446</v>
      </c>
      <c r="F7" s="126" t="s">
        <v>442</v>
      </c>
      <c r="G7" s="140">
        <f>7+42/60+12/3600</f>
        <v>7.7033333333333331</v>
      </c>
      <c r="H7" s="140">
        <f>134+38/60+34/3600</f>
        <v>134.64277777777778</v>
      </c>
      <c r="I7" s="113" t="s">
        <v>1361</v>
      </c>
      <c r="J7" s="113">
        <v>2016</v>
      </c>
      <c r="K7" s="128" t="s">
        <v>1301</v>
      </c>
      <c r="L7" s="114">
        <v>60</v>
      </c>
      <c r="M7" s="114">
        <v>12.5</v>
      </c>
      <c r="N7" s="129" t="s">
        <v>439</v>
      </c>
      <c r="O7" s="129" t="s">
        <v>298</v>
      </c>
      <c r="P7" s="134">
        <v>5</v>
      </c>
      <c r="Q7" s="134">
        <v>3</v>
      </c>
      <c r="R7" s="134">
        <v>4</v>
      </c>
      <c r="S7" s="416">
        <f t="shared" si="0"/>
        <v>83</v>
      </c>
      <c r="T7" s="416"/>
      <c r="U7" s="420">
        <f t="shared" si="1"/>
        <v>3562500</v>
      </c>
      <c r="V7" s="420">
        <f t="shared" si="2"/>
        <v>71300</v>
      </c>
      <c r="W7" s="281"/>
      <c r="X7" s="281"/>
      <c r="Y7" s="281"/>
      <c r="Z7" s="278">
        <f t="shared" si="3"/>
        <v>5</v>
      </c>
      <c r="AA7" s="278">
        <f t="shared" si="4"/>
        <v>3</v>
      </c>
      <c r="AB7" s="278">
        <f t="shared" si="5"/>
        <v>4</v>
      </c>
      <c r="AC7" s="278">
        <f t="shared" si="6"/>
        <v>54</v>
      </c>
      <c r="AD7" s="278"/>
      <c r="AE7" s="278">
        <f t="shared" si="7"/>
        <v>5</v>
      </c>
      <c r="AF7" s="278">
        <f t="shared" si="8"/>
        <v>5</v>
      </c>
      <c r="AG7" s="278">
        <f t="shared" si="9"/>
        <v>5</v>
      </c>
      <c r="AH7" s="278">
        <f t="shared" si="10"/>
        <v>65</v>
      </c>
    </row>
    <row r="8" spans="2:34" ht="25" customHeight="1" x14ac:dyDescent="0.35">
      <c r="B8" s="126" t="s">
        <v>1378</v>
      </c>
      <c r="C8" s="299" t="s">
        <v>92</v>
      </c>
      <c r="D8" s="299" t="s">
        <v>429</v>
      </c>
      <c r="E8" s="126" t="s">
        <v>1381</v>
      </c>
      <c r="F8" s="126" t="s">
        <v>1094</v>
      </c>
      <c r="G8" s="140">
        <f>7+38/60+31/3600</f>
        <v>7.6419444444444435</v>
      </c>
      <c r="H8" s="140">
        <f>134+37/609+57/3600</f>
        <v>134.07658866995075</v>
      </c>
      <c r="I8" s="113" t="s">
        <v>421</v>
      </c>
      <c r="J8" s="113" t="s">
        <v>311</v>
      </c>
      <c r="K8" s="128" t="s">
        <v>311</v>
      </c>
      <c r="L8" s="114">
        <v>65</v>
      </c>
      <c r="M8" s="114">
        <v>9</v>
      </c>
      <c r="N8" s="129" t="s">
        <v>298</v>
      </c>
      <c r="O8" s="129" t="s">
        <v>298</v>
      </c>
      <c r="P8" s="134">
        <v>5</v>
      </c>
      <c r="Q8" s="134">
        <v>4</v>
      </c>
      <c r="R8" s="134">
        <v>4</v>
      </c>
      <c r="S8" s="416">
        <f t="shared" si="0"/>
        <v>89</v>
      </c>
      <c r="T8" s="416"/>
      <c r="U8" s="420">
        <f t="shared" si="1"/>
        <v>2778750</v>
      </c>
      <c r="V8" s="420">
        <f t="shared" si="2"/>
        <v>55600</v>
      </c>
      <c r="W8" s="281"/>
      <c r="X8" s="281"/>
      <c r="Y8" s="281"/>
      <c r="Z8" s="278">
        <f t="shared" si="3"/>
        <v>5</v>
      </c>
      <c r="AA8" s="278">
        <f t="shared" si="4"/>
        <v>4</v>
      </c>
      <c r="AB8" s="278">
        <f t="shared" si="5"/>
        <v>4</v>
      </c>
      <c r="AC8" s="278">
        <f t="shared" si="6"/>
        <v>58</v>
      </c>
      <c r="AD8" s="278"/>
      <c r="AE8" s="278">
        <f t="shared" si="7"/>
        <v>5</v>
      </c>
      <c r="AF8" s="278">
        <f t="shared" si="8"/>
        <v>5</v>
      </c>
      <c r="AG8" s="278">
        <f t="shared" si="9"/>
        <v>5</v>
      </c>
      <c r="AH8" s="278">
        <f t="shared" si="10"/>
        <v>65</v>
      </c>
    </row>
    <row r="9" spans="2:34" ht="25" customHeight="1" x14ac:dyDescent="0.35">
      <c r="B9" s="126" t="s">
        <v>1379</v>
      </c>
      <c r="C9" s="299" t="s">
        <v>92</v>
      </c>
      <c r="D9" s="299" t="s">
        <v>429</v>
      </c>
      <c r="E9" s="126" t="s">
        <v>1380</v>
      </c>
      <c r="F9" s="126" t="s">
        <v>1094</v>
      </c>
      <c r="G9" s="140">
        <f>7+38/60+34/3600</f>
        <v>7.642777777777777</v>
      </c>
      <c r="H9" s="140">
        <f>134+37/609+51/3600</f>
        <v>134.07492200328406</v>
      </c>
      <c r="I9" s="113">
        <v>1994</v>
      </c>
      <c r="J9" s="113" t="s">
        <v>311</v>
      </c>
      <c r="K9" s="128" t="s">
        <v>311</v>
      </c>
      <c r="L9" s="114">
        <v>40</v>
      </c>
      <c r="M9" s="114">
        <v>13.5</v>
      </c>
      <c r="N9" s="129" t="s">
        <v>298</v>
      </c>
      <c r="O9" s="129" t="s">
        <v>298</v>
      </c>
      <c r="P9" s="134">
        <v>5</v>
      </c>
      <c r="Q9" s="134">
        <v>4</v>
      </c>
      <c r="R9" s="134">
        <v>5</v>
      </c>
      <c r="S9" s="416">
        <f t="shared" si="0"/>
        <v>94</v>
      </c>
      <c r="T9" s="416"/>
      <c r="U9" s="420">
        <f t="shared" si="1"/>
        <v>2565000</v>
      </c>
      <c r="V9" s="420">
        <f t="shared" si="2"/>
        <v>51300</v>
      </c>
      <c r="W9" s="281"/>
      <c r="X9" s="281"/>
      <c r="Y9" s="281"/>
      <c r="Z9" s="278">
        <f t="shared" si="3"/>
        <v>5</v>
      </c>
      <c r="AA9" s="278">
        <f t="shared" si="4"/>
        <v>4</v>
      </c>
      <c r="AB9" s="278">
        <f t="shared" si="5"/>
        <v>5</v>
      </c>
      <c r="AC9" s="278">
        <f t="shared" si="6"/>
        <v>61</v>
      </c>
      <c r="AD9" s="278"/>
      <c r="AE9" s="278">
        <f t="shared" si="7"/>
        <v>5</v>
      </c>
      <c r="AF9" s="278">
        <f t="shared" si="8"/>
        <v>5</v>
      </c>
      <c r="AG9" s="278">
        <f t="shared" si="9"/>
        <v>5</v>
      </c>
      <c r="AH9" s="278">
        <f t="shared" si="10"/>
        <v>65</v>
      </c>
    </row>
    <row r="10" spans="2:34" ht="25" customHeight="1" x14ac:dyDescent="0.35">
      <c r="B10" s="126" t="s">
        <v>1382</v>
      </c>
      <c r="C10" s="299" t="s">
        <v>92</v>
      </c>
      <c r="D10" s="299" t="s">
        <v>182</v>
      </c>
      <c r="E10" s="126" t="s">
        <v>1383</v>
      </c>
      <c r="F10" s="126" t="s">
        <v>1094</v>
      </c>
      <c r="G10" s="140">
        <f>7+35/60+18/3600</f>
        <v>7.5883333333333329</v>
      </c>
      <c r="H10" s="140">
        <f>134+38/60+23/3600</f>
        <v>134.63972222222222</v>
      </c>
      <c r="I10" s="113" t="s">
        <v>983</v>
      </c>
      <c r="J10" s="113">
        <v>2015</v>
      </c>
      <c r="K10" s="128" t="s">
        <v>1301</v>
      </c>
      <c r="L10" s="114">
        <v>185</v>
      </c>
      <c r="M10" s="114">
        <v>14</v>
      </c>
      <c r="N10" s="129" t="s">
        <v>439</v>
      </c>
      <c r="O10" s="129" t="s">
        <v>1384</v>
      </c>
      <c r="P10" s="134">
        <v>2</v>
      </c>
      <c r="Q10" s="134">
        <v>2</v>
      </c>
      <c r="R10" s="134">
        <v>2</v>
      </c>
      <c r="S10" s="416">
        <f t="shared" si="0"/>
        <v>40</v>
      </c>
      <c r="T10" s="416"/>
      <c r="U10" s="420">
        <f t="shared" si="1"/>
        <v>12302500</v>
      </c>
      <c r="V10" s="420">
        <f t="shared" si="2"/>
        <v>246100</v>
      </c>
      <c r="W10" s="281"/>
      <c r="X10" s="281"/>
      <c r="Y10" s="281"/>
      <c r="Z10" s="278">
        <f t="shared" si="3"/>
        <v>2</v>
      </c>
      <c r="AA10" s="278">
        <f t="shared" si="4"/>
        <v>2</v>
      </c>
      <c r="AB10" s="278">
        <f t="shared" si="5"/>
        <v>2</v>
      </c>
      <c r="AC10" s="278">
        <f t="shared" si="6"/>
        <v>26</v>
      </c>
      <c r="AD10" s="278"/>
      <c r="AE10" s="278">
        <f t="shared" si="7"/>
        <v>5</v>
      </c>
      <c r="AF10" s="278">
        <f t="shared" si="8"/>
        <v>5</v>
      </c>
      <c r="AG10" s="278">
        <f t="shared" si="9"/>
        <v>5</v>
      </c>
      <c r="AH10" s="278">
        <f t="shared" si="10"/>
        <v>65</v>
      </c>
    </row>
    <row r="11" spans="2:34" ht="25" customHeight="1" x14ac:dyDescent="0.35">
      <c r="B11" s="126" t="s">
        <v>440</v>
      </c>
      <c r="C11" s="299" t="s">
        <v>92</v>
      </c>
      <c r="D11" s="299" t="s">
        <v>182</v>
      </c>
      <c r="E11" s="126" t="s">
        <v>568</v>
      </c>
      <c r="F11" s="126" t="s">
        <v>441</v>
      </c>
      <c r="G11" s="140">
        <f>7+36.56239/60</f>
        <v>7.6093731666666669</v>
      </c>
      <c r="H11" s="140">
        <f>134+33.67859/60</f>
        <v>134.56130983333333</v>
      </c>
      <c r="I11" s="113" t="s">
        <v>1361</v>
      </c>
      <c r="J11" s="113" t="s">
        <v>311</v>
      </c>
      <c r="K11" s="128" t="s">
        <v>311</v>
      </c>
      <c r="L11" s="114">
        <v>36</v>
      </c>
      <c r="M11" s="114">
        <v>11</v>
      </c>
      <c r="N11" s="129" t="s">
        <v>439</v>
      </c>
      <c r="O11" s="129" t="s">
        <v>298</v>
      </c>
      <c r="P11" s="134">
        <v>4</v>
      </c>
      <c r="Q11" s="134">
        <v>4</v>
      </c>
      <c r="R11" s="134">
        <v>5</v>
      </c>
      <c r="S11" s="416">
        <f t="shared" si="0"/>
        <v>85</v>
      </c>
      <c r="T11" s="416"/>
      <c r="U11" s="420">
        <f t="shared" si="1"/>
        <v>1881000</v>
      </c>
      <c r="V11" s="420">
        <f t="shared" si="2"/>
        <v>37600</v>
      </c>
      <c r="W11" s="281"/>
      <c r="X11" s="281"/>
      <c r="Y11" s="281"/>
      <c r="Z11" s="278">
        <f t="shared" si="3"/>
        <v>4</v>
      </c>
      <c r="AA11" s="278">
        <f t="shared" si="4"/>
        <v>4</v>
      </c>
      <c r="AB11" s="278">
        <f t="shared" si="5"/>
        <v>5</v>
      </c>
      <c r="AC11" s="278">
        <f t="shared" si="6"/>
        <v>55</v>
      </c>
      <c r="AD11" s="278"/>
      <c r="AE11" s="278">
        <f t="shared" si="7"/>
        <v>5</v>
      </c>
      <c r="AF11" s="278">
        <f t="shared" si="8"/>
        <v>5</v>
      </c>
      <c r="AG11" s="278">
        <f t="shared" si="9"/>
        <v>5</v>
      </c>
      <c r="AH11" s="278">
        <f t="shared" si="10"/>
        <v>65</v>
      </c>
    </row>
    <row r="12" spans="2:34" ht="25" customHeight="1" x14ac:dyDescent="0.35">
      <c r="B12" s="126" t="s">
        <v>447</v>
      </c>
      <c r="C12" s="299" t="s">
        <v>92</v>
      </c>
      <c r="D12" s="299" t="s">
        <v>181</v>
      </c>
      <c r="E12" s="126" t="s">
        <v>567</v>
      </c>
      <c r="F12" s="126" t="s">
        <v>441</v>
      </c>
      <c r="G12" s="140">
        <f>7+36.44958/60</f>
        <v>7.6074929999999998</v>
      </c>
      <c r="H12" s="140">
        <f>134+34.418833/60</f>
        <v>134.57364721666667</v>
      </c>
      <c r="I12" s="113" t="s">
        <v>502</v>
      </c>
      <c r="J12" s="113" t="s">
        <v>311</v>
      </c>
      <c r="K12" s="128" t="s">
        <v>311</v>
      </c>
      <c r="L12" s="114">
        <v>122</v>
      </c>
      <c r="M12" s="114">
        <v>3.6</v>
      </c>
      <c r="N12" s="129" t="s">
        <v>439</v>
      </c>
      <c r="O12" s="129" t="s">
        <v>298</v>
      </c>
      <c r="P12" s="134">
        <v>4</v>
      </c>
      <c r="Q12" s="134">
        <v>3</v>
      </c>
      <c r="R12" s="134">
        <v>4</v>
      </c>
      <c r="S12" s="416">
        <f t="shared" si="0"/>
        <v>74</v>
      </c>
      <c r="T12" s="416"/>
      <c r="U12" s="420">
        <f t="shared" si="1"/>
        <v>2086200</v>
      </c>
      <c r="V12" s="420">
        <f t="shared" si="2"/>
        <v>41700</v>
      </c>
      <c r="W12" s="281"/>
      <c r="X12" s="281"/>
      <c r="Y12" s="281"/>
      <c r="Z12" s="278">
        <f t="shared" si="3"/>
        <v>4</v>
      </c>
      <c r="AA12" s="278">
        <f t="shared" si="4"/>
        <v>3</v>
      </c>
      <c r="AB12" s="278">
        <f t="shared" si="5"/>
        <v>4</v>
      </c>
      <c r="AC12" s="278">
        <f t="shared" si="6"/>
        <v>48</v>
      </c>
      <c r="AD12" s="278"/>
      <c r="AE12" s="278">
        <f t="shared" si="7"/>
        <v>5</v>
      </c>
      <c r="AF12" s="278">
        <f t="shared" si="8"/>
        <v>5</v>
      </c>
      <c r="AG12" s="278">
        <f t="shared" si="9"/>
        <v>5</v>
      </c>
      <c r="AH12" s="278">
        <f t="shared" si="10"/>
        <v>65</v>
      </c>
    </row>
    <row r="13" spans="2:34" ht="25" customHeight="1" x14ac:dyDescent="0.35">
      <c r="B13" s="126" t="s">
        <v>1298</v>
      </c>
      <c r="C13" s="299" t="s">
        <v>92</v>
      </c>
      <c r="D13" s="299" t="s">
        <v>181</v>
      </c>
      <c r="E13" s="126" t="s">
        <v>926</v>
      </c>
      <c r="F13" s="126" t="s">
        <v>927</v>
      </c>
      <c r="G13" s="140">
        <v>7.5392349000000003</v>
      </c>
      <c r="H13" s="140">
        <v>134.62614070000001</v>
      </c>
      <c r="I13" s="113">
        <v>2009</v>
      </c>
      <c r="J13" s="113" t="s">
        <v>311</v>
      </c>
      <c r="K13" s="128" t="s">
        <v>311</v>
      </c>
      <c r="L13" s="114">
        <v>20.5</v>
      </c>
      <c r="M13" s="114">
        <v>56</v>
      </c>
      <c r="N13" s="129" t="s">
        <v>298</v>
      </c>
      <c r="O13" s="129" t="s">
        <v>298</v>
      </c>
      <c r="P13" s="134">
        <v>4</v>
      </c>
      <c r="Q13" s="134">
        <v>4</v>
      </c>
      <c r="R13" s="134">
        <v>5</v>
      </c>
      <c r="S13" s="416">
        <f t="shared" si="0"/>
        <v>85</v>
      </c>
      <c r="T13" s="416"/>
      <c r="U13" s="420">
        <f t="shared" si="1"/>
        <v>5453000</v>
      </c>
      <c r="V13" s="420">
        <f t="shared" si="2"/>
        <v>109100</v>
      </c>
      <c r="W13" s="224"/>
      <c r="X13" s="224"/>
      <c r="Y13" s="224"/>
      <c r="Z13" s="278">
        <f t="shared" si="3"/>
        <v>4</v>
      </c>
      <c r="AA13" s="278">
        <f t="shared" si="4"/>
        <v>4</v>
      </c>
      <c r="AB13" s="278">
        <f t="shared" si="5"/>
        <v>5</v>
      </c>
      <c r="AC13" s="278">
        <f t="shared" si="6"/>
        <v>55</v>
      </c>
      <c r="AD13" s="278"/>
      <c r="AE13" s="278">
        <f t="shared" si="7"/>
        <v>5</v>
      </c>
      <c r="AF13" s="278">
        <f t="shared" si="8"/>
        <v>5</v>
      </c>
      <c r="AG13" s="278">
        <f t="shared" si="9"/>
        <v>5</v>
      </c>
      <c r="AH13" s="278">
        <f t="shared" si="10"/>
        <v>65</v>
      </c>
    </row>
    <row r="14" spans="2:34" ht="25" customHeight="1" x14ac:dyDescent="0.35">
      <c r="B14" s="126" t="s">
        <v>428</v>
      </c>
      <c r="C14" s="299" t="s">
        <v>92</v>
      </c>
      <c r="D14" s="299" t="s">
        <v>181</v>
      </c>
      <c r="E14" s="126" t="s">
        <v>301</v>
      </c>
      <c r="F14" s="126" t="s">
        <v>336</v>
      </c>
      <c r="G14" s="140">
        <f>7+31.479059/60</f>
        <v>7.5246509833333333</v>
      </c>
      <c r="H14" s="140">
        <f>134+29.958305/60</f>
        <v>134.49930508333333</v>
      </c>
      <c r="I14" s="113" t="s">
        <v>983</v>
      </c>
      <c r="J14" s="113">
        <v>2008</v>
      </c>
      <c r="K14" s="128" t="s">
        <v>304</v>
      </c>
      <c r="L14" s="114">
        <v>147</v>
      </c>
      <c r="M14" s="114">
        <v>16</v>
      </c>
      <c r="N14" s="129" t="s">
        <v>298</v>
      </c>
      <c r="O14" s="129" t="s">
        <v>298</v>
      </c>
      <c r="P14" s="134">
        <v>4</v>
      </c>
      <c r="Q14" s="134">
        <v>3</v>
      </c>
      <c r="R14" s="134">
        <v>4</v>
      </c>
      <c r="S14" s="416">
        <f t="shared" si="0"/>
        <v>74</v>
      </c>
      <c r="T14" s="416"/>
      <c r="U14" s="420">
        <f t="shared" si="1"/>
        <v>11172000</v>
      </c>
      <c r="V14" s="420">
        <f t="shared" si="2"/>
        <v>223400</v>
      </c>
      <c r="W14" s="224"/>
      <c r="X14" s="224"/>
      <c r="Y14" s="224"/>
      <c r="Z14" s="278">
        <f t="shared" si="3"/>
        <v>4</v>
      </c>
      <c r="AA14" s="278">
        <f t="shared" si="4"/>
        <v>3</v>
      </c>
      <c r="AB14" s="278">
        <f t="shared" si="5"/>
        <v>4</v>
      </c>
      <c r="AC14" s="278">
        <f t="shared" si="6"/>
        <v>48</v>
      </c>
      <c r="AD14" s="278"/>
      <c r="AE14" s="278">
        <f t="shared" si="7"/>
        <v>5</v>
      </c>
      <c r="AF14" s="278">
        <f t="shared" si="8"/>
        <v>5</v>
      </c>
      <c r="AG14" s="278">
        <f t="shared" si="9"/>
        <v>5</v>
      </c>
      <c r="AH14" s="278">
        <f t="shared" si="10"/>
        <v>65</v>
      </c>
    </row>
    <row r="15" spans="2:34" ht="25" customHeight="1" x14ac:dyDescent="0.35">
      <c r="B15" s="126" t="s">
        <v>1299</v>
      </c>
      <c r="C15" s="299" t="s">
        <v>92</v>
      </c>
      <c r="D15" s="299" t="s">
        <v>181</v>
      </c>
      <c r="E15" s="126" t="s">
        <v>1297</v>
      </c>
      <c r="F15" s="126" t="s">
        <v>576</v>
      </c>
      <c r="G15" s="140">
        <v>7.4859118000000002</v>
      </c>
      <c r="H15" s="140">
        <v>134.62721959999999</v>
      </c>
      <c r="I15" s="113">
        <v>1991</v>
      </c>
      <c r="J15" s="113" t="s">
        <v>311</v>
      </c>
      <c r="K15" s="128" t="s">
        <v>311</v>
      </c>
      <c r="L15" s="114">
        <v>50</v>
      </c>
      <c r="M15" s="114">
        <v>18.5</v>
      </c>
      <c r="N15" s="129" t="s">
        <v>298</v>
      </c>
      <c r="O15" s="129" t="s">
        <v>298</v>
      </c>
      <c r="P15" s="134">
        <v>3</v>
      </c>
      <c r="Q15" s="134">
        <v>3</v>
      </c>
      <c r="R15" s="134">
        <v>4</v>
      </c>
      <c r="S15" s="416">
        <f t="shared" si="0"/>
        <v>65</v>
      </c>
      <c r="T15" s="416"/>
      <c r="U15" s="420">
        <f t="shared" si="1"/>
        <v>4393750</v>
      </c>
      <c r="V15" s="420">
        <f t="shared" si="2"/>
        <v>87900</v>
      </c>
      <c r="W15" s="224"/>
      <c r="X15" s="224"/>
      <c r="Y15" s="224"/>
      <c r="Z15" s="278">
        <f t="shared" si="3"/>
        <v>3</v>
      </c>
      <c r="AA15" s="278">
        <f t="shared" si="4"/>
        <v>3</v>
      </c>
      <c r="AB15" s="278">
        <f t="shared" si="5"/>
        <v>4</v>
      </c>
      <c r="AC15" s="278">
        <f t="shared" si="6"/>
        <v>42</v>
      </c>
      <c r="AD15" s="278"/>
      <c r="AE15" s="278">
        <f t="shared" si="7"/>
        <v>5</v>
      </c>
      <c r="AF15" s="278">
        <f t="shared" si="8"/>
        <v>5</v>
      </c>
      <c r="AG15" s="278">
        <f t="shared" si="9"/>
        <v>5</v>
      </c>
      <c r="AH15" s="278">
        <f t="shared" si="10"/>
        <v>65</v>
      </c>
    </row>
    <row r="16" spans="2:34" ht="25" customHeight="1" x14ac:dyDescent="0.35">
      <c r="B16" s="126" t="s">
        <v>1333</v>
      </c>
      <c r="C16" s="299" t="s">
        <v>92</v>
      </c>
      <c r="D16" s="299" t="s">
        <v>181</v>
      </c>
      <c r="E16" s="126" t="s">
        <v>1334</v>
      </c>
      <c r="F16" s="126" t="s">
        <v>576</v>
      </c>
      <c r="G16" s="140">
        <f>7+29/60+32/3600</f>
        <v>7.4922222222222219</v>
      </c>
      <c r="H16" s="140">
        <f>134+34/60+38/3600</f>
        <v>134.57722222222222</v>
      </c>
      <c r="I16" s="113" t="s">
        <v>1359</v>
      </c>
      <c r="J16" s="113">
        <v>2014</v>
      </c>
      <c r="K16" s="128" t="s">
        <v>1360</v>
      </c>
      <c r="L16" s="114">
        <v>380</v>
      </c>
      <c r="M16" s="114">
        <v>4.5</v>
      </c>
      <c r="N16" s="129" t="s">
        <v>439</v>
      </c>
      <c r="O16" s="129" t="s">
        <v>1366</v>
      </c>
      <c r="P16" s="134">
        <v>3</v>
      </c>
      <c r="Q16" s="134">
        <v>1</v>
      </c>
      <c r="R16" s="134">
        <v>1</v>
      </c>
      <c r="S16" s="416">
        <f t="shared" si="0"/>
        <v>38</v>
      </c>
      <c r="T16" s="416"/>
      <c r="U16" s="420">
        <f t="shared" si="1"/>
        <v>8122500</v>
      </c>
      <c r="V16" s="420">
        <f t="shared" si="2"/>
        <v>162500</v>
      </c>
      <c r="W16" s="224"/>
      <c r="X16" s="224"/>
      <c r="Y16" s="224"/>
      <c r="Z16" s="278">
        <f t="shared" si="3"/>
        <v>3</v>
      </c>
      <c r="AA16" s="278">
        <f t="shared" si="4"/>
        <v>1</v>
      </c>
      <c r="AB16" s="278">
        <f t="shared" si="5"/>
        <v>1</v>
      </c>
      <c r="AC16" s="278">
        <f t="shared" si="6"/>
        <v>25</v>
      </c>
      <c r="AD16" s="278"/>
      <c r="AE16" s="278">
        <f t="shared" si="7"/>
        <v>5</v>
      </c>
      <c r="AF16" s="278">
        <f t="shared" si="8"/>
        <v>5</v>
      </c>
      <c r="AG16" s="278">
        <f t="shared" si="9"/>
        <v>5</v>
      </c>
      <c r="AH16" s="278">
        <f t="shared" si="10"/>
        <v>65</v>
      </c>
    </row>
    <row r="17" spans="2:34" ht="25" customHeight="1" x14ac:dyDescent="0.35">
      <c r="B17" s="126" t="s">
        <v>434</v>
      </c>
      <c r="C17" s="299" t="s">
        <v>92</v>
      </c>
      <c r="D17" s="299" t="s">
        <v>181</v>
      </c>
      <c r="E17" s="126" t="s">
        <v>435</v>
      </c>
      <c r="F17" s="126" t="s">
        <v>436</v>
      </c>
      <c r="G17" s="140">
        <f>7+29.75404/60</f>
        <v>7.4959006666666665</v>
      </c>
      <c r="H17" s="140">
        <f>134+29.11943/60</f>
        <v>134.48532383333333</v>
      </c>
      <c r="I17" s="113">
        <v>1990</v>
      </c>
      <c r="J17" s="113" t="s">
        <v>311</v>
      </c>
      <c r="K17" s="128" t="s">
        <v>311</v>
      </c>
      <c r="L17" s="114">
        <v>83</v>
      </c>
      <c r="M17" s="114">
        <v>10</v>
      </c>
      <c r="N17" s="129" t="s">
        <v>298</v>
      </c>
      <c r="O17" s="129" t="s">
        <v>298</v>
      </c>
      <c r="P17" s="134">
        <v>3</v>
      </c>
      <c r="Q17" s="134">
        <v>3</v>
      </c>
      <c r="R17" s="134">
        <v>4</v>
      </c>
      <c r="S17" s="416">
        <f t="shared" si="0"/>
        <v>65</v>
      </c>
      <c r="T17" s="416"/>
      <c r="U17" s="420">
        <f t="shared" si="1"/>
        <v>3942500</v>
      </c>
      <c r="V17" s="420">
        <f t="shared" si="2"/>
        <v>78900</v>
      </c>
      <c r="W17" s="224"/>
      <c r="X17" s="224"/>
      <c r="Y17" s="224"/>
      <c r="Z17" s="278">
        <f t="shared" si="3"/>
        <v>3</v>
      </c>
      <c r="AA17" s="278">
        <f t="shared" si="4"/>
        <v>3</v>
      </c>
      <c r="AB17" s="278">
        <f t="shared" si="5"/>
        <v>4</v>
      </c>
      <c r="AC17" s="278">
        <f t="shared" si="6"/>
        <v>42</v>
      </c>
      <c r="AD17" s="278"/>
      <c r="AE17" s="278">
        <f t="shared" si="7"/>
        <v>5</v>
      </c>
      <c r="AF17" s="278">
        <f t="shared" si="8"/>
        <v>5</v>
      </c>
      <c r="AG17" s="278">
        <f t="shared" si="9"/>
        <v>5</v>
      </c>
      <c r="AH17" s="278">
        <f t="shared" si="10"/>
        <v>65</v>
      </c>
    </row>
    <row r="18" spans="2:34" ht="25" customHeight="1" x14ac:dyDescent="0.35">
      <c r="B18" s="126" t="s">
        <v>437</v>
      </c>
      <c r="C18" s="299" t="s">
        <v>92</v>
      </c>
      <c r="D18" s="299" t="s">
        <v>181</v>
      </c>
      <c r="E18" s="126" t="s">
        <v>438</v>
      </c>
      <c r="F18" s="126" t="s">
        <v>436</v>
      </c>
      <c r="G18" s="140">
        <f>7+29.27444/60</f>
        <v>7.4879073333333332</v>
      </c>
      <c r="H18" s="140">
        <f>134+28.82812/60</f>
        <v>134.48046866666667</v>
      </c>
      <c r="I18" s="113" t="s">
        <v>502</v>
      </c>
      <c r="J18" s="113" t="s">
        <v>311</v>
      </c>
      <c r="K18" s="128" t="s">
        <v>311</v>
      </c>
      <c r="L18" s="114">
        <v>34</v>
      </c>
      <c r="M18" s="114">
        <v>6</v>
      </c>
      <c r="N18" s="129" t="s">
        <v>439</v>
      </c>
      <c r="O18" s="129" t="s">
        <v>298</v>
      </c>
      <c r="P18" s="134">
        <v>2</v>
      </c>
      <c r="Q18" s="134">
        <v>2</v>
      </c>
      <c r="R18" s="134">
        <v>3</v>
      </c>
      <c r="S18" s="416">
        <f t="shared" si="0"/>
        <v>45</v>
      </c>
      <c r="T18" s="416"/>
      <c r="U18" s="420">
        <f t="shared" si="1"/>
        <v>969000</v>
      </c>
      <c r="V18" s="420">
        <f t="shared" si="2"/>
        <v>19400</v>
      </c>
      <c r="W18" s="224"/>
      <c r="X18" s="224"/>
      <c r="Y18" s="224"/>
      <c r="Z18" s="278">
        <f t="shared" si="3"/>
        <v>2</v>
      </c>
      <c r="AA18" s="278">
        <f t="shared" si="4"/>
        <v>2</v>
      </c>
      <c r="AB18" s="278">
        <f t="shared" si="5"/>
        <v>3</v>
      </c>
      <c r="AC18" s="278">
        <f t="shared" si="6"/>
        <v>29</v>
      </c>
      <c r="AD18" s="278"/>
      <c r="AE18" s="278">
        <f t="shared" si="7"/>
        <v>5</v>
      </c>
      <c r="AF18" s="278">
        <f t="shared" si="8"/>
        <v>5</v>
      </c>
      <c r="AG18" s="278">
        <f t="shared" si="9"/>
        <v>5</v>
      </c>
      <c r="AH18" s="278">
        <f t="shared" si="10"/>
        <v>65</v>
      </c>
    </row>
    <row r="19" spans="2:34" ht="25" customHeight="1" x14ac:dyDescent="0.35">
      <c r="B19" s="126" t="s">
        <v>448</v>
      </c>
      <c r="C19" s="299" t="s">
        <v>92</v>
      </c>
      <c r="D19" s="299" t="s">
        <v>181</v>
      </c>
      <c r="E19" s="126" t="s">
        <v>449</v>
      </c>
      <c r="F19" s="126" t="s">
        <v>436</v>
      </c>
      <c r="G19" s="140">
        <f>7+29.5997/60</f>
        <v>7.4933283333333334</v>
      </c>
      <c r="H19" s="140">
        <f>134+31.44104/60</f>
        <v>134.52401733333335</v>
      </c>
      <c r="I19" s="113" t="s">
        <v>502</v>
      </c>
      <c r="J19" s="113" t="s">
        <v>311</v>
      </c>
      <c r="K19" s="128" t="s">
        <v>311</v>
      </c>
      <c r="L19" s="114">
        <v>87</v>
      </c>
      <c r="M19" s="114">
        <v>8.5</v>
      </c>
      <c r="N19" s="129" t="s">
        <v>439</v>
      </c>
      <c r="O19" s="129" t="s">
        <v>298</v>
      </c>
      <c r="P19" s="134">
        <v>4</v>
      </c>
      <c r="Q19" s="134">
        <v>3</v>
      </c>
      <c r="R19" s="134">
        <v>3</v>
      </c>
      <c r="S19" s="416">
        <f t="shared" si="0"/>
        <v>69</v>
      </c>
      <c r="T19" s="416"/>
      <c r="U19" s="420">
        <f t="shared" si="1"/>
        <v>3512625</v>
      </c>
      <c r="V19" s="420">
        <f t="shared" si="2"/>
        <v>70300</v>
      </c>
      <c r="W19" s="224"/>
      <c r="X19" s="224"/>
      <c r="Y19" s="224"/>
      <c r="Z19" s="278">
        <f t="shared" si="3"/>
        <v>4</v>
      </c>
      <c r="AA19" s="278">
        <f t="shared" si="4"/>
        <v>3</v>
      </c>
      <c r="AB19" s="278">
        <f t="shared" si="5"/>
        <v>3</v>
      </c>
      <c r="AC19" s="278">
        <f t="shared" si="6"/>
        <v>45</v>
      </c>
      <c r="AD19" s="278"/>
      <c r="AE19" s="278">
        <f t="shared" si="7"/>
        <v>5</v>
      </c>
      <c r="AF19" s="278">
        <f t="shared" si="8"/>
        <v>5</v>
      </c>
      <c r="AG19" s="278">
        <f t="shared" si="9"/>
        <v>5</v>
      </c>
      <c r="AH19" s="278">
        <f t="shared" si="10"/>
        <v>65</v>
      </c>
    </row>
    <row r="20" spans="2:34" ht="25" customHeight="1" x14ac:dyDescent="0.35">
      <c r="B20" s="126" t="s">
        <v>1327</v>
      </c>
      <c r="C20" s="299" t="s">
        <v>92</v>
      </c>
      <c r="D20" s="299" t="s">
        <v>182</v>
      </c>
      <c r="E20" s="126" t="s">
        <v>1328</v>
      </c>
      <c r="F20" s="126" t="s">
        <v>602</v>
      </c>
      <c r="G20" s="140">
        <f>7+28/60+14/3600</f>
        <v>7.4705555555555554</v>
      </c>
      <c r="H20" s="140">
        <f>134+36/60+42/3600</f>
        <v>134.61166666666665</v>
      </c>
      <c r="I20" s="113" t="s">
        <v>1361</v>
      </c>
      <c r="J20" s="113">
        <v>2014</v>
      </c>
      <c r="K20" s="128" t="s">
        <v>1360</v>
      </c>
      <c r="L20" s="114">
        <v>350</v>
      </c>
      <c r="M20" s="114">
        <v>7</v>
      </c>
      <c r="N20" s="129" t="s">
        <v>439</v>
      </c>
      <c r="O20" s="129" t="s">
        <v>439</v>
      </c>
      <c r="P20" s="134">
        <v>4</v>
      </c>
      <c r="Q20" s="134">
        <v>3</v>
      </c>
      <c r="R20" s="134">
        <v>3</v>
      </c>
      <c r="S20" s="416">
        <f t="shared" si="0"/>
        <v>69</v>
      </c>
      <c r="T20" s="416"/>
      <c r="U20" s="420">
        <f t="shared" si="1"/>
        <v>11637500</v>
      </c>
      <c r="V20" s="420">
        <f t="shared" si="2"/>
        <v>232800</v>
      </c>
      <c r="W20" s="224"/>
      <c r="X20" s="224"/>
      <c r="Y20" s="224"/>
      <c r="Z20" s="278">
        <f t="shared" si="3"/>
        <v>4</v>
      </c>
      <c r="AA20" s="278">
        <f t="shared" si="4"/>
        <v>3</v>
      </c>
      <c r="AB20" s="278">
        <f t="shared" si="5"/>
        <v>3</v>
      </c>
      <c r="AC20" s="278">
        <f t="shared" si="6"/>
        <v>45</v>
      </c>
      <c r="AD20" s="278"/>
      <c r="AE20" s="278">
        <f t="shared" si="7"/>
        <v>5</v>
      </c>
      <c r="AF20" s="278">
        <f t="shared" si="8"/>
        <v>5</v>
      </c>
      <c r="AG20" s="278">
        <f t="shared" si="9"/>
        <v>5</v>
      </c>
      <c r="AH20" s="278">
        <f t="shared" si="10"/>
        <v>65</v>
      </c>
    </row>
    <row r="21" spans="2:34" ht="25" customHeight="1" x14ac:dyDescent="0.35">
      <c r="B21" s="126" t="s">
        <v>1329</v>
      </c>
      <c r="C21" s="299" t="s">
        <v>92</v>
      </c>
      <c r="D21" s="299" t="s">
        <v>181</v>
      </c>
      <c r="E21" s="126" t="s">
        <v>1330</v>
      </c>
      <c r="F21" s="126" t="s">
        <v>602</v>
      </c>
      <c r="G21" s="140">
        <f>7+27/60+3/3600</f>
        <v>7.4508333333333336</v>
      </c>
      <c r="H21" s="140">
        <f>134+36/60+32/3600</f>
        <v>134.60888888888888</v>
      </c>
      <c r="I21" s="113">
        <v>2003</v>
      </c>
      <c r="J21" s="113">
        <v>2017</v>
      </c>
      <c r="K21" s="128" t="s">
        <v>1360</v>
      </c>
      <c r="L21" s="114">
        <v>90</v>
      </c>
      <c r="M21" s="114">
        <v>60</v>
      </c>
      <c r="N21" s="129" t="s">
        <v>439</v>
      </c>
      <c r="O21" s="129" t="s">
        <v>1366</v>
      </c>
      <c r="P21" s="134">
        <v>5</v>
      </c>
      <c r="Q21" s="134">
        <v>2</v>
      </c>
      <c r="R21" s="134">
        <v>3</v>
      </c>
      <c r="S21" s="416">
        <f t="shared" si="0"/>
        <v>72</v>
      </c>
      <c r="T21" s="416"/>
      <c r="U21" s="420">
        <f t="shared" si="1"/>
        <v>25650000</v>
      </c>
      <c r="V21" s="420">
        <f t="shared" si="2"/>
        <v>513000</v>
      </c>
      <c r="W21" s="224"/>
      <c r="X21" s="224"/>
      <c r="Y21" s="224"/>
      <c r="Z21" s="278">
        <f t="shared" si="3"/>
        <v>5</v>
      </c>
      <c r="AA21" s="278">
        <f t="shared" si="4"/>
        <v>2</v>
      </c>
      <c r="AB21" s="278">
        <f t="shared" si="5"/>
        <v>3</v>
      </c>
      <c r="AC21" s="278">
        <f t="shared" si="6"/>
        <v>47</v>
      </c>
      <c r="AD21" s="278"/>
      <c r="AE21" s="278">
        <f t="shared" si="7"/>
        <v>5</v>
      </c>
      <c r="AF21" s="278">
        <f t="shared" si="8"/>
        <v>5</v>
      </c>
      <c r="AG21" s="278">
        <f t="shared" si="9"/>
        <v>5</v>
      </c>
      <c r="AH21" s="278">
        <f t="shared" si="10"/>
        <v>65</v>
      </c>
    </row>
    <row r="22" spans="2:34" ht="25" customHeight="1" x14ac:dyDescent="0.35">
      <c r="B22" s="126" t="s">
        <v>1331</v>
      </c>
      <c r="C22" s="299" t="s">
        <v>92</v>
      </c>
      <c r="D22" s="299" t="s">
        <v>182</v>
      </c>
      <c r="E22" s="126" t="s">
        <v>1332</v>
      </c>
      <c r="F22" s="126" t="s">
        <v>602</v>
      </c>
      <c r="G22" s="140">
        <f>7+26/60+3/3600</f>
        <v>7.434166666666667</v>
      </c>
      <c r="H22" s="140">
        <f>134+35/60+42/3600</f>
        <v>134.595</v>
      </c>
      <c r="I22" s="113" t="s">
        <v>1361</v>
      </c>
      <c r="J22" s="113" t="s">
        <v>311</v>
      </c>
      <c r="K22" s="128" t="s">
        <v>311</v>
      </c>
      <c r="L22" s="114">
        <v>35</v>
      </c>
      <c r="M22" s="114">
        <v>5</v>
      </c>
      <c r="N22" s="129" t="s">
        <v>439</v>
      </c>
      <c r="O22" s="129" t="s">
        <v>439</v>
      </c>
      <c r="P22" s="134">
        <v>3</v>
      </c>
      <c r="Q22" s="134">
        <v>3</v>
      </c>
      <c r="R22" s="134">
        <v>3</v>
      </c>
      <c r="S22" s="416">
        <f t="shared" si="0"/>
        <v>60</v>
      </c>
      <c r="T22" s="416"/>
      <c r="U22" s="420">
        <f t="shared" si="1"/>
        <v>831250</v>
      </c>
      <c r="V22" s="420">
        <f t="shared" si="2"/>
        <v>16600</v>
      </c>
      <c r="W22" s="224"/>
      <c r="X22" s="224"/>
      <c r="Y22" s="224"/>
      <c r="Z22" s="278">
        <f t="shared" si="3"/>
        <v>3</v>
      </c>
      <c r="AA22" s="278">
        <f t="shared" si="4"/>
        <v>3</v>
      </c>
      <c r="AB22" s="278">
        <f t="shared" si="5"/>
        <v>3</v>
      </c>
      <c r="AC22" s="278">
        <f t="shared" si="6"/>
        <v>39</v>
      </c>
      <c r="AD22" s="278"/>
      <c r="AE22" s="278">
        <f t="shared" si="7"/>
        <v>5</v>
      </c>
      <c r="AF22" s="278">
        <f t="shared" si="8"/>
        <v>5</v>
      </c>
      <c r="AG22" s="278">
        <f t="shared" si="9"/>
        <v>5</v>
      </c>
      <c r="AH22" s="278">
        <f t="shared" si="10"/>
        <v>65</v>
      </c>
    </row>
    <row r="23" spans="2:34" ht="25" customHeight="1" x14ac:dyDescent="0.35">
      <c r="B23" s="126" t="s">
        <v>1300</v>
      </c>
      <c r="C23" s="299" t="s">
        <v>92</v>
      </c>
      <c r="D23" s="299" t="s">
        <v>181</v>
      </c>
      <c r="E23" s="126" t="s">
        <v>928</v>
      </c>
      <c r="F23" s="126" t="s">
        <v>929</v>
      </c>
      <c r="G23" s="140">
        <f>7+26.40999/60</f>
        <v>7.4401665000000001</v>
      </c>
      <c r="H23" s="140">
        <f>134+28.33466/60</f>
        <v>134.47224433333332</v>
      </c>
      <c r="I23" s="113" t="s">
        <v>502</v>
      </c>
      <c r="J23" s="113" t="s">
        <v>311</v>
      </c>
      <c r="K23" s="128" t="s">
        <v>311</v>
      </c>
      <c r="L23" s="114">
        <v>21.5</v>
      </c>
      <c r="M23" s="114">
        <v>11.5</v>
      </c>
      <c r="N23" s="129" t="s">
        <v>298</v>
      </c>
      <c r="O23" s="129" t="s">
        <v>298</v>
      </c>
      <c r="P23" s="134">
        <v>3</v>
      </c>
      <c r="Q23" s="134">
        <v>2</v>
      </c>
      <c r="R23" s="134">
        <v>3</v>
      </c>
      <c r="S23" s="416">
        <f t="shared" si="0"/>
        <v>54</v>
      </c>
      <c r="T23" s="416"/>
      <c r="U23" s="420">
        <f t="shared" si="1"/>
        <v>1174437.5</v>
      </c>
      <c r="V23" s="420">
        <f t="shared" si="2"/>
        <v>23500</v>
      </c>
      <c r="W23" s="224"/>
      <c r="X23" s="224"/>
      <c r="Y23" s="224"/>
      <c r="Z23" s="278">
        <f t="shared" si="3"/>
        <v>3</v>
      </c>
      <c r="AA23" s="278">
        <f t="shared" si="4"/>
        <v>2</v>
      </c>
      <c r="AB23" s="278">
        <f t="shared" si="5"/>
        <v>3</v>
      </c>
      <c r="AC23" s="278">
        <f t="shared" si="6"/>
        <v>35</v>
      </c>
      <c r="AD23" s="278"/>
      <c r="AE23" s="278">
        <f t="shared" si="7"/>
        <v>5</v>
      </c>
      <c r="AF23" s="278">
        <f t="shared" si="8"/>
        <v>5</v>
      </c>
      <c r="AG23" s="278">
        <f t="shared" si="9"/>
        <v>5</v>
      </c>
      <c r="AH23" s="278">
        <f t="shared" si="10"/>
        <v>65</v>
      </c>
    </row>
    <row r="24" spans="2:34" ht="25" customHeight="1" x14ac:dyDescent="0.35">
      <c r="B24" s="126" t="s">
        <v>1303</v>
      </c>
      <c r="C24" s="299" t="s">
        <v>92</v>
      </c>
      <c r="D24" s="299" t="s">
        <v>181</v>
      </c>
      <c r="E24" s="126" t="s">
        <v>1302</v>
      </c>
      <c r="F24" s="126" t="s">
        <v>711</v>
      </c>
      <c r="G24" s="140">
        <f>7+27.41595/60</f>
        <v>7.4569324999999997</v>
      </c>
      <c r="H24" s="140">
        <f>134+28.85559/60</f>
        <v>134.48092650000001</v>
      </c>
      <c r="I24" s="113" t="s">
        <v>502</v>
      </c>
      <c r="J24" s="113" t="s">
        <v>311</v>
      </c>
      <c r="K24" s="128" t="s">
        <v>311</v>
      </c>
      <c r="L24" s="114">
        <v>23</v>
      </c>
      <c r="M24" s="114">
        <v>8.5</v>
      </c>
      <c r="N24" s="129" t="s">
        <v>298</v>
      </c>
      <c r="O24" s="129" t="s">
        <v>298</v>
      </c>
      <c r="P24" s="134">
        <v>2</v>
      </c>
      <c r="Q24" s="134">
        <v>3</v>
      </c>
      <c r="R24" s="134">
        <v>4</v>
      </c>
      <c r="S24" s="416">
        <f t="shared" si="0"/>
        <v>55</v>
      </c>
      <c r="T24" s="416"/>
      <c r="U24" s="420">
        <f t="shared" si="1"/>
        <v>928625</v>
      </c>
      <c r="V24" s="420">
        <f t="shared" si="2"/>
        <v>18600</v>
      </c>
      <c r="W24" s="224"/>
      <c r="X24" s="224"/>
      <c r="Y24" s="224"/>
      <c r="Z24" s="278">
        <f t="shared" si="3"/>
        <v>2</v>
      </c>
      <c r="AA24" s="278">
        <f t="shared" si="4"/>
        <v>3</v>
      </c>
      <c r="AB24" s="278">
        <f t="shared" si="5"/>
        <v>4</v>
      </c>
      <c r="AC24" s="278">
        <f t="shared" si="6"/>
        <v>36</v>
      </c>
      <c r="AD24" s="278"/>
      <c r="AE24" s="278">
        <f t="shared" si="7"/>
        <v>5</v>
      </c>
      <c r="AF24" s="278">
        <f t="shared" si="8"/>
        <v>5</v>
      </c>
      <c r="AG24" s="278">
        <f t="shared" si="9"/>
        <v>5</v>
      </c>
      <c r="AH24" s="278">
        <f t="shared" si="10"/>
        <v>65</v>
      </c>
    </row>
    <row r="25" spans="2:34" ht="25" customHeight="1" x14ac:dyDescent="0.35">
      <c r="B25" s="126" t="s">
        <v>1304</v>
      </c>
      <c r="C25" s="299" t="s">
        <v>92</v>
      </c>
      <c r="D25" s="299" t="s">
        <v>181</v>
      </c>
      <c r="E25" s="126" t="s">
        <v>930</v>
      </c>
      <c r="F25" s="126" t="s">
        <v>697</v>
      </c>
      <c r="G25" s="140">
        <f>7+25.01135/60</f>
        <v>7.416855833333333</v>
      </c>
      <c r="H25" s="140">
        <f>134+29.69971/60</f>
        <v>134.49499516666665</v>
      </c>
      <c r="I25" s="113" t="s">
        <v>502</v>
      </c>
      <c r="J25" s="113" t="s">
        <v>311</v>
      </c>
      <c r="K25" s="128" t="s">
        <v>311</v>
      </c>
      <c r="L25" s="114">
        <v>5</v>
      </c>
      <c r="M25" s="114">
        <v>41</v>
      </c>
      <c r="N25" s="129" t="s">
        <v>298</v>
      </c>
      <c r="O25" s="129" t="s">
        <v>298</v>
      </c>
      <c r="P25" s="134">
        <v>4</v>
      </c>
      <c r="Q25" s="134">
        <v>3</v>
      </c>
      <c r="R25" s="134">
        <v>4</v>
      </c>
      <c r="S25" s="416">
        <f t="shared" si="0"/>
        <v>74</v>
      </c>
      <c r="T25" s="416"/>
      <c r="U25" s="420">
        <f t="shared" si="1"/>
        <v>973750</v>
      </c>
      <c r="V25" s="420">
        <f t="shared" si="2"/>
        <v>19500</v>
      </c>
      <c r="W25" s="224"/>
      <c r="X25" s="224"/>
      <c r="Y25" s="224"/>
      <c r="Z25" s="278">
        <f t="shared" si="3"/>
        <v>4</v>
      </c>
      <c r="AA25" s="278">
        <f t="shared" si="4"/>
        <v>3</v>
      </c>
      <c r="AB25" s="278">
        <f t="shared" si="5"/>
        <v>4</v>
      </c>
      <c r="AC25" s="278">
        <f t="shared" si="6"/>
        <v>48</v>
      </c>
      <c r="AD25" s="278"/>
      <c r="AE25" s="278">
        <f t="shared" si="7"/>
        <v>5</v>
      </c>
      <c r="AF25" s="278">
        <f t="shared" si="8"/>
        <v>5</v>
      </c>
      <c r="AG25" s="278">
        <f t="shared" si="9"/>
        <v>5</v>
      </c>
      <c r="AH25" s="278">
        <f t="shared" si="10"/>
        <v>65</v>
      </c>
    </row>
    <row r="26" spans="2:34" ht="25" customHeight="1" x14ac:dyDescent="0.35">
      <c r="B26" s="126" t="s">
        <v>1325</v>
      </c>
      <c r="C26" s="299" t="s">
        <v>92</v>
      </c>
      <c r="D26" s="299" t="s">
        <v>182</v>
      </c>
      <c r="E26" s="126" t="s">
        <v>1362</v>
      </c>
      <c r="F26" s="126" t="s">
        <v>1364</v>
      </c>
      <c r="G26" s="140">
        <f>7+23/60+13/3600</f>
        <v>7.3869444444444445</v>
      </c>
      <c r="H26" s="140">
        <f>134+35/60+16/3600</f>
        <v>134.58777777777777</v>
      </c>
      <c r="I26" s="113">
        <v>2003</v>
      </c>
      <c r="J26" s="113" t="s">
        <v>311</v>
      </c>
      <c r="K26" s="128" t="s">
        <v>311</v>
      </c>
      <c r="L26" s="114">
        <v>175</v>
      </c>
      <c r="M26" s="114">
        <v>8</v>
      </c>
      <c r="N26" s="129" t="s">
        <v>439</v>
      </c>
      <c r="O26" s="129" t="s">
        <v>1366</v>
      </c>
      <c r="P26" s="134">
        <v>3</v>
      </c>
      <c r="Q26" s="134">
        <v>2</v>
      </c>
      <c r="R26" s="134">
        <v>2</v>
      </c>
      <c r="S26" s="416">
        <f t="shared" si="0"/>
        <v>49</v>
      </c>
      <c r="T26" s="416"/>
      <c r="U26" s="420">
        <f t="shared" si="1"/>
        <v>6650000</v>
      </c>
      <c r="V26" s="420">
        <f t="shared" si="2"/>
        <v>133000</v>
      </c>
      <c r="W26" s="224"/>
      <c r="X26" s="224"/>
      <c r="Y26" s="224"/>
      <c r="Z26" s="278">
        <f t="shared" si="3"/>
        <v>3</v>
      </c>
      <c r="AA26" s="278">
        <f t="shared" si="4"/>
        <v>2</v>
      </c>
      <c r="AB26" s="278">
        <f t="shared" si="5"/>
        <v>2</v>
      </c>
      <c r="AC26" s="278">
        <f t="shared" si="6"/>
        <v>32</v>
      </c>
      <c r="AD26" s="278"/>
      <c r="AE26" s="278">
        <f t="shared" si="7"/>
        <v>5</v>
      </c>
      <c r="AF26" s="278">
        <f t="shared" si="8"/>
        <v>5</v>
      </c>
      <c r="AG26" s="278">
        <f t="shared" si="9"/>
        <v>5</v>
      </c>
      <c r="AH26" s="278">
        <f t="shared" si="10"/>
        <v>65</v>
      </c>
    </row>
    <row r="27" spans="2:34" ht="25" customHeight="1" x14ac:dyDescent="0.35">
      <c r="B27" s="126" t="s">
        <v>1363</v>
      </c>
      <c r="C27" s="299" t="s">
        <v>92</v>
      </c>
      <c r="D27" s="299" t="s">
        <v>181</v>
      </c>
      <c r="E27" s="126" t="s">
        <v>1326</v>
      </c>
      <c r="F27" s="126" t="s">
        <v>1247</v>
      </c>
      <c r="G27" s="140">
        <f>7+21/60+32/3600</f>
        <v>7.3588888888888881</v>
      </c>
      <c r="H27" s="140">
        <f>134+33/60+40/3600</f>
        <v>134.56111111111113</v>
      </c>
      <c r="I27" s="113" t="s">
        <v>983</v>
      </c>
      <c r="J27" s="113">
        <v>1998</v>
      </c>
      <c r="K27" s="128" t="s">
        <v>1365</v>
      </c>
      <c r="L27" s="114">
        <v>90</v>
      </c>
      <c r="M27" s="114">
        <v>70</v>
      </c>
      <c r="N27" s="129" t="s">
        <v>439</v>
      </c>
      <c r="O27" s="129" t="s">
        <v>1366</v>
      </c>
      <c r="P27" s="134">
        <v>4</v>
      </c>
      <c r="Q27" s="134">
        <v>4</v>
      </c>
      <c r="R27" s="134">
        <v>4</v>
      </c>
      <c r="S27" s="416">
        <f t="shared" si="0"/>
        <v>80</v>
      </c>
      <c r="T27" s="416"/>
      <c r="U27" s="420">
        <f t="shared" si="1"/>
        <v>29925000</v>
      </c>
      <c r="V27" s="420">
        <f t="shared" si="2"/>
        <v>598500</v>
      </c>
      <c r="W27" s="224"/>
      <c r="X27" s="224"/>
      <c r="Y27" s="224"/>
      <c r="Z27" s="278">
        <f t="shared" si="3"/>
        <v>4</v>
      </c>
      <c r="AA27" s="278">
        <f t="shared" si="4"/>
        <v>4</v>
      </c>
      <c r="AB27" s="278">
        <f t="shared" si="5"/>
        <v>4</v>
      </c>
      <c r="AC27" s="278">
        <f t="shared" si="6"/>
        <v>52</v>
      </c>
      <c r="AD27" s="278"/>
      <c r="AE27" s="278">
        <f t="shared" si="7"/>
        <v>5</v>
      </c>
      <c r="AF27" s="278">
        <f t="shared" si="8"/>
        <v>5</v>
      </c>
      <c r="AG27" s="278">
        <f t="shared" si="9"/>
        <v>5</v>
      </c>
      <c r="AH27" s="278">
        <f t="shared" si="10"/>
        <v>65</v>
      </c>
    </row>
    <row r="28" spans="2:34" ht="25" customHeight="1" x14ac:dyDescent="0.35">
      <c r="B28" s="126" t="s">
        <v>1637</v>
      </c>
      <c r="C28" s="299" t="s">
        <v>92</v>
      </c>
      <c r="D28" s="299" t="s">
        <v>181</v>
      </c>
      <c r="E28" s="126" t="s">
        <v>1638</v>
      </c>
      <c r="F28" s="126" t="s">
        <v>1639</v>
      </c>
      <c r="G28" s="140">
        <f>7+21/60+31/3600</f>
        <v>7.3586111111111103</v>
      </c>
      <c r="H28" s="140">
        <f>134+31/60+32/3600</f>
        <v>134.52555555555557</v>
      </c>
      <c r="I28" s="113" t="s">
        <v>421</v>
      </c>
      <c r="J28" s="113" t="s">
        <v>311</v>
      </c>
      <c r="K28" s="128" t="s">
        <v>311</v>
      </c>
      <c r="L28" s="114">
        <v>36</v>
      </c>
      <c r="M28" s="114">
        <v>6</v>
      </c>
      <c r="N28" s="129" t="s">
        <v>439</v>
      </c>
      <c r="O28" s="129" t="s">
        <v>1366</v>
      </c>
      <c r="P28" s="134">
        <v>2</v>
      </c>
      <c r="Q28" s="134">
        <v>2</v>
      </c>
      <c r="R28" s="134">
        <v>2</v>
      </c>
      <c r="S28" s="416">
        <f t="shared" si="0"/>
        <v>40</v>
      </c>
      <c r="T28" s="416"/>
      <c r="U28" s="420">
        <f t="shared" si="1"/>
        <v>1026000</v>
      </c>
      <c r="V28" s="420">
        <f t="shared" si="2"/>
        <v>20500</v>
      </c>
      <c r="W28" s="224"/>
      <c r="X28" s="224"/>
      <c r="Y28" s="224"/>
      <c r="Z28" s="278">
        <f t="shared" si="3"/>
        <v>2</v>
      </c>
      <c r="AA28" s="278">
        <f t="shared" si="4"/>
        <v>2</v>
      </c>
      <c r="AB28" s="278">
        <f t="shared" si="5"/>
        <v>2</v>
      </c>
      <c r="AC28" s="278">
        <f t="shared" si="6"/>
        <v>26</v>
      </c>
      <c r="AD28" s="278"/>
      <c r="AE28" s="278">
        <f t="shared" si="7"/>
        <v>5</v>
      </c>
      <c r="AF28" s="278">
        <f t="shared" si="8"/>
        <v>5</v>
      </c>
      <c r="AG28" s="278">
        <f t="shared" si="9"/>
        <v>5</v>
      </c>
      <c r="AH28" s="278">
        <f t="shared" si="10"/>
        <v>65</v>
      </c>
    </row>
    <row r="29" spans="2:34" ht="25" customHeight="1" x14ac:dyDescent="0.35">
      <c r="B29" s="126" t="s">
        <v>1305</v>
      </c>
      <c r="C29" s="299" t="s">
        <v>92</v>
      </c>
      <c r="D29" s="299" t="s">
        <v>181</v>
      </c>
      <c r="E29" s="126" t="s">
        <v>1318</v>
      </c>
      <c r="F29" s="126" t="s">
        <v>819</v>
      </c>
      <c r="G29" s="140">
        <f>7+19/60+54/3600</f>
        <v>7.3316666666666661</v>
      </c>
      <c r="H29" s="140">
        <f>134+27/60+23/3600</f>
        <v>134.45638888888888</v>
      </c>
      <c r="I29" s="113" t="s">
        <v>1361</v>
      </c>
      <c r="J29" s="113" t="s">
        <v>311</v>
      </c>
      <c r="K29" s="128" t="s">
        <v>311</v>
      </c>
      <c r="L29" s="114">
        <v>180</v>
      </c>
      <c r="M29" s="114">
        <v>90</v>
      </c>
      <c r="N29" s="129" t="s">
        <v>298</v>
      </c>
      <c r="O29" s="129" t="s">
        <v>298</v>
      </c>
      <c r="P29" s="134">
        <v>5</v>
      </c>
      <c r="Q29" s="134">
        <v>4</v>
      </c>
      <c r="R29" s="134">
        <v>5</v>
      </c>
      <c r="S29" s="416">
        <f t="shared" si="0"/>
        <v>94</v>
      </c>
      <c r="T29" s="416"/>
      <c r="U29" s="420">
        <f t="shared" si="1"/>
        <v>76950000</v>
      </c>
      <c r="V29" s="420">
        <f t="shared" si="2"/>
        <v>1539000</v>
      </c>
      <c r="W29" s="224"/>
      <c r="X29" s="224"/>
      <c r="Y29" s="224"/>
      <c r="Z29" s="278">
        <f t="shared" si="3"/>
        <v>5</v>
      </c>
      <c r="AA29" s="278">
        <f t="shared" si="4"/>
        <v>4</v>
      </c>
      <c r="AB29" s="278">
        <f t="shared" si="5"/>
        <v>5</v>
      </c>
      <c r="AC29" s="278">
        <f t="shared" si="6"/>
        <v>61</v>
      </c>
      <c r="AD29" s="278"/>
      <c r="AE29" s="278">
        <f t="shared" si="7"/>
        <v>5</v>
      </c>
      <c r="AF29" s="278">
        <f t="shared" si="8"/>
        <v>5</v>
      </c>
      <c r="AG29" s="278">
        <f t="shared" si="9"/>
        <v>5</v>
      </c>
      <c r="AH29" s="278">
        <f t="shared" si="10"/>
        <v>65</v>
      </c>
    </row>
    <row r="30" spans="2:34" ht="25" customHeight="1" x14ac:dyDescent="0.35">
      <c r="B30" s="126" t="s">
        <v>1306</v>
      </c>
      <c r="C30" s="299" t="s">
        <v>92</v>
      </c>
      <c r="D30" s="299" t="s">
        <v>1295</v>
      </c>
      <c r="E30" s="126" t="s">
        <v>1368</v>
      </c>
      <c r="F30" s="126" t="s">
        <v>819</v>
      </c>
      <c r="G30" s="140">
        <f>7+19/60+46/3600</f>
        <v>7.3294444444444444</v>
      </c>
      <c r="H30" s="140">
        <f>134+26/60+59/3600</f>
        <v>134.44972222222222</v>
      </c>
      <c r="I30" s="113">
        <v>1998</v>
      </c>
      <c r="J30" s="113" t="s">
        <v>311</v>
      </c>
      <c r="K30" s="128" t="s">
        <v>311</v>
      </c>
      <c r="L30" s="114">
        <v>60</v>
      </c>
      <c r="M30" s="114">
        <v>5</v>
      </c>
      <c r="N30" s="129" t="s">
        <v>298</v>
      </c>
      <c r="O30" s="129" t="s">
        <v>298</v>
      </c>
      <c r="P30" s="134">
        <v>5</v>
      </c>
      <c r="Q30" s="134">
        <v>4</v>
      </c>
      <c r="R30" s="134">
        <v>5</v>
      </c>
      <c r="S30" s="416">
        <f t="shared" si="0"/>
        <v>94</v>
      </c>
      <c r="T30" s="416"/>
      <c r="U30" s="420">
        <f t="shared" si="1"/>
        <v>1425000</v>
      </c>
      <c r="V30" s="420">
        <f t="shared" si="2"/>
        <v>28500</v>
      </c>
      <c r="W30" s="224"/>
      <c r="X30" s="224"/>
      <c r="Y30" s="224"/>
      <c r="Z30" s="278">
        <f t="shared" si="3"/>
        <v>5</v>
      </c>
      <c r="AA30" s="278">
        <f t="shared" si="4"/>
        <v>4</v>
      </c>
      <c r="AB30" s="278">
        <f t="shared" si="5"/>
        <v>5</v>
      </c>
      <c r="AC30" s="278">
        <f t="shared" si="6"/>
        <v>61</v>
      </c>
      <c r="AD30" s="278"/>
      <c r="AE30" s="278">
        <f t="shared" si="7"/>
        <v>5</v>
      </c>
      <c r="AF30" s="278">
        <f t="shared" si="8"/>
        <v>5</v>
      </c>
      <c r="AG30" s="278">
        <f t="shared" si="9"/>
        <v>5</v>
      </c>
      <c r="AH30" s="278">
        <f t="shared" si="10"/>
        <v>65</v>
      </c>
    </row>
    <row r="31" spans="2:34" ht="25" customHeight="1" x14ac:dyDescent="0.35">
      <c r="B31" s="126" t="s">
        <v>1307</v>
      </c>
      <c r="C31" s="299" t="s">
        <v>92</v>
      </c>
      <c r="D31" s="299" t="s">
        <v>1295</v>
      </c>
      <c r="E31" s="126" t="s">
        <v>1367</v>
      </c>
      <c r="F31" s="126" t="s">
        <v>819</v>
      </c>
      <c r="G31" s="140">
        <f>7+19/60+46/3600</f>
        <v>7.3294444444444444</v>
      </c>
      <c r="H31" s="140">
        <f>134+26/60+59/3600</f>
        <v>134.44972222222222</v>
      </c>
      <c r="I31" s="113">
        <v>2018</v>
      </c>
      <c r="J31" s="113" t="s">
        <v>311</v>
      </c>
      <c r="K31" s="128" t="s">
        <v>311</v>
      </c>
      <c r="L31" s="114">
        <v>81</v>
      </c>
      <c r="M31" s="114">
        <v>7</v>
      </c>
      <c r="N31" s="129" t="s">
        <v>298</v>
      </c>
      <c r="O31" s="129" t="s">
        <v>298</v>
      </c>
      <c r="P31" s="134">
        <v>5</v>
      </c>
      <c r="Q31" s="134">
        <v>4</v>
      </c>
      <c r="R31" s="134">
        <v>5</v>
      </c>
      <c r="S31" s="416">
        <f t="shared" si="0"/>
        <v>94</v>
      </c>
      <c r="T31" s="416"/>
      <c r="U31" s="420">
        <f t="shared" si="1"/>
        <v>2693250</v>
      </c>
      <c r="V31" s="420">
        <f t="shared" si="2"/>
        <v>53900</v>
      </c>
      <c r="W31" s="224"/>
      <c r="X31" s="224"/>
      <c r="Y31" s="224"/>
      <c r="Z31" s="278">
        <f t="shared" si="3"/>
        <v>5</v>
      </c>
      <c r="AA31" s="278">
        <f t="shared" si="4"/>
        <v>4</v>
      </c>
      <c r="AB31" s="278">
        <f t="shared" si="5"/>
        <v>5</v>
      </c>
      <c r="AC31" s="278">
        <f t="shared" si="6"/>
        <v>61</v>
      </c>
      <c r="AD31" s="224"/>
      <c r="AE31" s="278">
        <f t="shared" si="7"/>
        <v>5</v>
      </c>
      <c r="AF31" s="278">
        <f t="shared" si="8"/>
        <v>5</v>
      </c>
      <c r="AG31" s="278">
        <f t="shared" si="9"/>
        <v>5</v>
      </c>
      <c r="AH31" s="278">
        <f t="shared" si="10"/>
        <v>65</v>
      </c>
    </row>
    <row r="32" spans="2:34" ht="25" customHeight="1" x14ac:dyDescent="0.35">
      <c r="B32" s="126" t="s">
        <v>1308</v>
      </c>
      <c r="C32" s="299" t="s">
        <v>92</v>
      </c>
      <c r="D32" s="299" t="s">
        <v>181</v>
      </c>
      <c r="E32" s="126" t="s">
        <v>1376</v>
      </c>
      <c r="F32" s="126" t="s">
        <v>819</v>
      </c>
      <c r="G32" s="140">
        <f>7+20/60+1/3600</f>
        <v>7.3336111111111109</v>
      </c>
      <c r="H32" s="140">
        <f>134+27/60+26/3600</f>
        <v>134.45722222222221</v>
      </c>
      <c r="I32" s="113" t="s">
        <v>1361</v>
      </c>
      <c r="J32" s="113" t="s">
        <v>311</v>
      </c>
      <c r="K32" s="128" t="s">
        <v>311</v>
      </c>
      <c r="L32" s="114">
        <v>90</v>
      </c>
      <c r="M32" s="114">
        <v>25</v>
      </c>
      <c r="N32" s="129" t="s">
        <v>298</v>
      </c>
      <c r="O32" s="129" t="s">
        <v>298</v>
      </c>
      <c r="P32" s="134">
        <v>4</v>
      </c>
      <c r="Q32" s="134">
        <v>4</v>
      </c>
      <c r="R32" s="134">
        <v>4</v>
      </c>
      <c r="S32" s="416">
        <f t="shared" si="0"/>
        <v>80</v>
      </c>
      <c r="T32" s="416"/>
      <c r="U32" s="420">
        <f t="shared" si="1"/>
        <v>10687500</v>
      </c>
      <c r="V32" s="420">
        <f t="shared" si="2"/>
        <v>213800</v>
      </c>
      <c r="W32" s="224"/>
      <c r="X32" s="224"/>
      <c r="Y32" s="224"/>
      <c r="Z32" s="278">
        <f t="shared" si="3"/>
        <v>4</v>
      </c>
      <c r="AA32" s="278">
        <f t="shared" si="4"/>
        <v>4</v>
      </c>
      <c r="AB32" s="278">
        <f t="shared" si="5"/>
        <v>4</v>
      </c>
      <c r="AC32" s="278">
        <f t="shared" si="6"/>
        <v>52</v>
      </c>
      <c r="AD32" s="224"/>
      <c r="AE32" s="278">
        <f t="shared" si="7"/>
        <v>5</v>
      </c>
      <c r="AF32" s="278">
        <f t="shared" si="8"/>
        <v>5</v>
      </c>
      <c r="AG32" s="278">
        <f t="shared" si="9"/>
        <v>5</v>
      </c>
      <c r="AH32" s="278">
        <f t="shared" si="10"/>
        <v>65</v>
      </c>
    </row>
    <row r="33" spans="2:34" ht="25" customHeight="1" x14ac:dyDescent="0.35">
      <c r="B33" s="126" t="s">
        <v>1309</v>
      </c>
      <c r="C33" s="299" t="s">
        <v>92</v>
      </c>
      <c r="D33" s="299" t="s">
        <v>181</v>
      </c>
      <c r="E33" s="126" t="s">
        <v>931</v>
      </c>
      <c r="F33" s="126" t="s">
        <v>788</v>
      </c>
      <c r="G33" s="140">
        <v>7.3366921999999999</v>
      </c>
      <c r="H33" s="140">
        <v>134.46825419999999</v>
      </c>
      <c r="I33" s="113" t="s">
        <v>983</v>
      </c>
      <c r="J33" s="113" t="s">
        <v>311</v>
      </c>
      <c r="K33" s="128" t="s">
        <v>311</v>
      </c>
      <c r="L33" s="114">
        <v>220</v>
      </c>
      <c r="M33" s="114">
        <v>13</v>
      </c>
      <c r="N33" s="129" t="s">
        <v>298</v>
      </c>
      <c r="O33" s="129" t="s">
        <v>298</v>
      </c>
      <c r="P33" s="134">
        <v>3</v>
      </c>
      <c r="Q33" s="134">
        <v>3</v>
      </c>
      <c r="R33" s="134">
        <v>4</v>
      </c>
      <c r="S33" s="416">
        <f t="shared" si="0"/>
        <v>65</v>
      </c>
      <c r="T33" s="416"/>
      <c r="U33" s="420">
        <f t="shared" si="1"/>
        <v>13585000</v>
      </c>
      <c r="V33" s="420">
        <f t="shared" si="2"/>
        <v>271700</v>
      </c>
      <c r="W33" s="224"/>
      <c r="X33" s="224"/>
      <c r="Y33" s="224"/>
      <c r="Z33" s="278">
        <f t="shared" si="3"/>
        <v>3</v>
      </c>
      <c r="AA33" s="278">
        <f t="shared" si="4"/>
        <v>3</v>
      </c>
      <c r="AB33" s="278">
        <f t="shared" si="5"/>
        <v>4</v>
      </c>
      <c r="AC33" s="278">
        <f t="shared" si="6"/>
        <v>42</v>
      </c>
      <c r="AD33" s="224"/>
      <c r="AE33" s="278">
        <f t="shared" si="7"/>
        <v>5</v>
      </c>
      <c r="AF33" s="278">
        <f t="shared" si="8"/>
        <v>5</v>
      </c>
      <c r="AG33" s="278">
        <f t="shared" si="9"/>
        <v>5</v>
      </c>
      <c r="AH33" s="278">
        <f t="shared" si="10"/>
        <v>65</v>
      </c>
    </row>
    <row r="34" spans="2:34" ht="25" customHeight="1" x14ac:dyDescent="0.35">
      <c r="B34" s="126" t="s">
        <v>1310</v>
      </c>
      <c r="C34" s="299" t="s">
        <v>92</v>
      </c>
      <c r="D34" s="299" t="s">
        <v>182</v>
      </c>
      <c r="E34" s="126" t="s">
        <v>932</v>
      </c>
      <c r="F34" s="126" t="s">
        <v>759</v>
      </c>
      <c r="G34" s="140">
        <v>7.3514004000000002</v>
      </c>
      <c r="H34" s="140">
        <v>134.47906019999999</v>
      </c>
      <c r="I34" s="113" t="s">
        <v>983</v>
      </c>
      <c r="J34" s="113" t="s">
        <v>311</v>
      </c>
      <c r="K34" s="128" t="s">
        <v>311</v>
      </c>
      <c r="L34" s="114">
        <v>69</v>
      </c>
      <c r="M34" s="114">
        <v>10</v>
      </c>
      <c r="N34" s="129" t="s">
        <v>298</v>
      </c>
      <c r="O34" s="129" t="s">
        <v>298</v>
      </c>
      <c r="P34" s="134">
        <v>4</v>
      </c>
      <c r="Q34" s="134">
        <v>3</v>
      </c>
      <c r="R34" s="134">
        <v>4</v>
      </c>
      <c r="S34" s="416">
        <f t="shared" si="0"/>
        <v>74</v>
      </c>
      <c r="T34" s="416"/>
      <c r="U34" s="420">
        <f t="shared" si="1"/>
        <v>3277500</v>
      </c>
      <c r="V34" s="420">
        <f t="shared" si="2"/>
        <v>65600</v>
      </c>
      <c r="W34" s="224"/>
      <c r="X34" s="224"/>
      <c r="Y34" s="224"/>
      <c r="Z34" s="278">
        <f t="shared" si="3"/>
        <v>4</v>
      </c>
      <c r="AA34" s="278">
        <f t="shared" si="4"/>
        <v>3</v>
      </c>
      <c r="AB34" s="278">
        <f t="shared" si="5"/>
        <v>4</v>
      </c>
      <c r="AC34" s="278">
        <f t="shared" si="6"/>
        <v>48</v>
      </c>
      <c r="AD34" s="224"/>
      <c r="AE34" s="278">
        <f t="shared" si="7"/>
        <v>5</v>
      </c>
      <c r="AF34" s="278">
        <f t="shared" si="8"/>
        <v>5</v>
      </c>
      <c r="AG34" s="278">
        <f t="shared" si="9"/>
        <v>5</v>
      </c>
      <c r="AH34" s="278">
        <f t="shared" si="10"/>
        <v>65</v>
      </c>
    </row>
    <row r="35" spans="2:34" ht="25" customHeight="1" x14ac:dyDescent="0.35">
      <c r="B35" s="126" t="s">
        <v>1311</v>
      </c>
      <c r="C35" s="299" t="s">
        <v>92</v>
      </c>
      <c r="D35" s="299" t="s">
        <v>182</v>
      </c>
      <c r="E35" s="126" t="s">
        <v>933</v>
      </c>
      <c r="F35" s="126" t="s">
        <v>759</v>
      </c>
      <c r="G35" s="140">
        <v>7.3516494000000003</v>
      </c>
      <c r="H35" s="140">
        <v>134.47993679999999</v>
      </c>
      <c r="I35" s="113" t="s">
        <v>983</v>
      </c>
      <c r="J35" s="113" t="s">
        <v>311</v>
      </c>
      <c r="K35" s="128" t="s">
        <v>311</v>
      </c>
      <c r="L35" s="114">
        <v>136</v>
      </c>
      <c r="M35" s="114">
        <v>18</v>
      </c>
      <c r="N35" s="129" t="s">
        <v>298</v>
      </c>
      <c r="O35" s="129" t="s">
        <v>298</v>
      </c>
      <c r="P35" s="134">
        <v>3</v>
      </c>
      <c r="Q35" s="134">
        <v>3</v>
      </c>
      <c r="R35" s="134">
        <v>4</v>
      </c>
      <c r="S35" s="416">
        <f t="shared" si="0"/>
        <v>65</v>
      </c>
      <c r="T35" s="416"/>
      <c r="U35" s="420">
        <f t="shared" si="1"/>
        <v>11628000</v>
      </c>
      <c r="V35" s="420">
        <f t="shared" si="2"/>
        <v>232600</v>
      </c>
      <c r="W35" s="224"/>
      <c r="X35" s="224"/>
      <c r="Y35" s="224"/>
      <c r="Z35" s="278">
        <f t="shared" si="3"/>
        <v>3</v>
      </c>
      <c r="AA35" s="278">
        <f t="shared" si="4"/>
        <v>3</v>
      </c>
      <c r="AB35" s="278">
        <f t="shared" si="5"/>
        <v>4</v>
      </c>
      <c r="AC35" s="278">
        <f t="shared" si="6"/>
        <v>42</v>
      </c>
      <c r="AD35" s="224"/>
      <c r="AE35" s="278">
        <f t="shared" si="7"/>
        <v>5</v>
      </c>
      <c r="AF35" s="278">
        <f t="shared" si="8"/>
        <v>5</v>
      </c>
      <c r="AG35" s="278">
        <f t="shared" si="9"/>
        <v>5</v>
      </c>
      <c r="AH35" s="278">
        <f t="shared" si="10"/>
        <v>65</v>
      </c>
    </row>
    <row r="36" spans="2:34" ht="25" customHeight="1" x14ac:dyDescent="0.35">
      <c r="B36" s="126" t="s">
        <v>1312</v>
      </c>
      <c r="C36" s="299" t="s">
        <v>92</v>
      </c>
      <c r="D36" s="299" t="s">
        <v>181</v>
      </c>
      <c r="E36" s="126" t="s">
        <v>934</v>
      </c>
      <c r="F36" s="126" t="s">
        <v>910</v>
      </c>
      <c r="G36" s="140">
        <v>7.3467127999999997</v>
      </c>
      <c r="H36" s="140">
        <v>134.4520914</v>
      </c>
      <c r="I36" s="113">
        <v>2002</v>
      </c>
      <c r="J36" s="113" t="s">
        <v>311</v>
      </c>
      <c r="K36" s="128" t="s">
        <v>311</v>
      </c>
      <c r="L36" s="114">
        <v>100</v>
      </c>
      <c r="M36" s="114">
        <v>1.5</v>
      </c>
      <c r="N36" s="129" t="s">
        <v>298</v>
      </c>
      <c r="O36" s="129" t="s">
        <v>298</v>
      </c>
      <c r="P36" s="134">
        <v>4</v>
      </c>
      <c r="Q36" s="134">
        <v>4</v>
      </c>
      <c r="R36" s="134">
        <v>4</v>
      </c>
      <c r="S36" s="416">
        <f t="shared" si="0"/>
        <v>80</v>
      </c>
      <c r="T36" s="416"/>
      <c r="U36" s="420">
        <f t="shared" si="1"/>
        <v>712500</v>
      </c>
      <c r="V36" s="420">
        <f t="shared" si="2"/>
        <v>14300</v>
      </c>
      <c r="W36" s="224"/>
      <c r="X36" s="224"/>
      <c r="Y36" s="224"/>
      <c r="Z36" s="278">
        <f t="shared" si="3"/>
        <v>4</v>
      </c>
      <c r="AA36" s="278">
        <f t="shared" si="4"/>
        <v>4</v>
      </c>
      <c r="AB36" s="278">
        <f t="shared" si="5"/>
        <v>4</v>
      </c>
      <c r="AC36" s="278">
        <f t="shared" si="6"/>
        <v>52</v>
      </c>
      <c r="AD36" s="224"/>
      <c r="AE36" s="278">
        <f t="shared" si="7"/>
        <v>5</v>
      </c>
      <c r="AF36" s="278">
        <f t="shared" si="8"/>
        <v>5</v>
      </c>
      <c r="AG36" s="278">
        <f t="shared" si="9"/>
        <v>5</v>
      </c>
      <c r="AH36" s="278">
        <f t="shared" si="10"/>
        <v>65</v>
      </c>
    </row>
    <row r="37" spans="2:34" ht="25" customHeight="1" x14ac:dyDescent="0.35">
      <c r="B37" s="126" t="s">
        <v>1313</v>
      </c>
      <c r="C37" s="299" t="s">
        <v>92</v>
      </c>
      <c r="D37" s="299" t="s">
        <v>182</v>
      </c>
      <c r="E37" s="126" t="s">
        <v>935</v>
      </c>
      <c r="F37" s="126" t="s">
        <v>910</v>
      </c>
      <c r="G37" s="140">
        <v>7.3570726000000004</v>
      </c>
      <c r="H37" s="140">
        <v>134.45869970000001</v>
      </c>
      <c r="I37" s="113" t="s">
        <v>1174</v>
      </c>
      <c r="J37" s="113" t="s">
        <v>311</v>
      </c>
      <c r="K37" s="128" t="s">
        <v>311</v>
      </c>
      <c r="L37" s="114">
        <v>106</v>
      </c>
      <c r="M37" s="114">
        <v>38.25</v>
      </c>
      <c r="N37" s="129" t="s">
        <v>298</v>
      </c>
      <c r="O37" s="129" t="s">
        <v>298</v>
      </c>
      <c r="P37" s="134">
        <v>3</v>
      </c>
      <c r="Q37" s="134">
        <v>2</v>
      </c>
      <c r="R37" s="134">
        <v>3</v>
      </c>
      <c r="S37" s="416">
        <f t="shared" si="0"/>
        <v>54</v>
      </c>
      <c r="T37" s="416"/>
      <c r="U37" s="420">
        <f t="shared" si="1"/>
        <v>19258875</v>
      </c>
      <c r="V37" s="420">
        <f t="shared" si="2"/>
        <v>385200</v>
      </c>
      <c r="W37" s="224"/>
      <c r="X37" s="224"/>
      <c r="Y37" s="224"/>
      <c r="Z37" s="278">
        <f t="shared" si="3"/>
        <v>3</v>
      </c>
      <c r="AA37" s="278">
        <f t="shared" si="4"/>
        <v>2</v>
      </c>
      <c r="AB37" s="278">
        <f t="shared" si="5"/>
        <v>3</v>
      </c>
      <c r="AC37" s="278">
        <f t="shared" si="6"/>
        <v>35</v>
      </c>
      <c r="AD37" s="224"/>
      <c r="AE37" s="278">
        <f t="shared" si="7"/>
        <v>5</v>
      </c>
      <c r="AF37" s="278">
        <f t="shared" si="8"/>
        <v>5</v>
      </c>
      <c r="AG37" s="278">
        <f t="shared" si="9"/>
        <v>5</v>
      </c>
      <c r="AH37" s="278">
        <f t="shared" si="10"/>
        <v>65</v>
      </c>
    </row>
    <row r="38" spans="2:34" ht="25" customHeight="1" x14ac:dyDescent="0.35">
      <c r="B38" s="126" t="s">
        <v>1314</v>
      </c>
      <c r="C38" s="299" t="s">
        <v>92</v>
      </c>
      <c r="D38" s="299" t="s">
        <v>181</v>
      </c>
      <c r="E38" s="126" t="s">
        <v>936</v>
      </c>
      <c r="F38" s="126" t="s">
        <v>808</v>
      </c>
      <c r="G38" s="140">
        <f>7+20.10369/60</f>
        <v>7.3350615000000001</v>
      </c>
      <c r="H38" s="140">
        <f>134+28.37219/60</f>
        <v>134.47286983333333</v>
      </c>
      <c r="I38" s="113" t="s">
        <v>380</v>
      </c>
      <c r="J38" s="113" t="s">
        <v>311</v>
      </c>
      <c r="K38" s="128" t="s">
        <v>311</v>
      </c>
      <c r="L38" s="114">
        <v>77</v>
      </c>
      <c r="M38" s="114">
        <v>2</v>
      </c>
      <c r="N38" s="129" t="s">
        <v>439</v>
      </c>
      <c r="O38" s="129" t="s">
        <v>298</v>
      </c>
      <c r="P38" s="134">
        <v>3</v>
      </c>
      <c r="Q38" s="134">
        <v>2</v>
      </c>
      <c r="R38" s="134">
        <v>3</v>
      </c>
      <c r="S38" s="416">
        <f t="shared" si="0"/>
        <v>54</v>
      </c>
      <c r="T38" s="416"/>
      <c r="U38" s="420">
        <f t="shared" si="1"/>
        <v>731500</v>
      </c>
      <c r="V38" s="420">
        <f t="shared" si="2"/>
        <v>14600</v>
      </c>
      <c r="W38" s="108"/>
      <c r="X38" s="108"/>
      <c r="Y38" s="108"/>
      <c r="Z38" s="278">
        <f t="shared" si="3"/>
        <v>3</v>
      </c>
      <c r="AA38" s="278">
        <f t="shared" si="4"/>
        <v>2</v>
      </c>
      <c r="AB38" s="278">
        <f t="shared" si="5"/>
        <v>3</v>
      </c>
      <c r="AC38" s="278">
        <f t="shared" si="6"/>
        <v>35</v>
      </c>
      <c r="AD38" s="108"/>
      <c r="AE38" s="278">
        <f t="shared" si="7"/>
        <v>5</v>
      </c>
      <c r="AF38" s="278">
        <f t="shared" si="8"/>
        <v>5</v>
      </c>
      <c r="AG38" s="278">
        <f t="shared" si="9"/>
        <v>5</v>
      </c>
      <c r="AH38" s="278">
        <f t="shared" si="10"/>
        <v>65</v>
      </c>
    </row>
    <row r="39" spans="2:34" ht="25" customHeight="1" x14ac:dyDescent="0.35">
      <c r="B39" s="126" t="s">
        <v>1316</v>
      </c>
      <c r="C39" s="299" t="s">
        <v>92</v>
      </c>
      <c r="D39" s="299" t="s">
        <v>181</v>
      </c>
      <c r="E39" s="126" t="s">
        <v>937</v>
      </c>
      <c r="F39" s="126" t="s">
        <v>1315</v>
      </c>
      <c r="G39" s="140">
        <f>7+20.11411/60</f>
        <v>7.3352351666666671</v>
      </c>
      <c r="H39" s="140">
        <f>134+10.437/60</f>
        <v>134.17394999999999</v>
      </c>
      <c r="I39" s="113" t="s">
        <v>380</v>
      </c>
      <c r="J39" s="113" t="s">
        <v>311</v>
      </c>
      <c r="K39" s="128" t="s">
        <v>311</v>
      </c>
      <c r="L39" s="114">
        <v>109</v>
      </c>
      <c r="M39" s="114">
        <v>11</v>
      </c>
      <c r="N39" s="129" t="s">
        <v>298</v>
      </c>
      <c r="O39" s="129" t="s">
        <v>298</v>
      </c>
      <c r="P39" s="134">
        <v>3</v>
      </c>
      <c r="Q39" s="134">
        <v>3</v>
      </c>
      <c r="R39" s="134">
        <v>3</v>
      </c>
      <c r="S39" s="416">
        <f t="shared" si="0"/>
        <v>60</v>
      </c>
      <c r="T39" s="416"/>
      <c r="U39" s="420">
        <f t="shared" si="1"/>
        <v>5695250</v>
      </c>
      <c r="V39" s="420">
        <f t="shared" si="2"/>
        <v>113900</v>
      </c>
      <c r="W39" s="108"/>
      <c r="X39" s="108"/>
      <c r="Y39" s="108"/>
      <c r="Z39" s="278">
        <f t="shared" si="3"/>
        <v>3</v>
      </c>
      <c r="AA39" s="278">
        <f t="shared" si="4"/>
        <v>3</v>
      </c>
      <c r="AB39" s="278">
        <f t="shared" si="5"/>
        <v>3</v>
      </c>
      <c r="AC39" s="278">
        <f t="shared" si="6"/>
        <v>39</v>
      </c>
      <c r="AD39" s="108"/>
      <c r="AE39" s="278">
        <f t="shared" si="7"/>
        <v>5</v>
      </c>
      <c r="AF39" s="278">
        <f t="shared" si="8"/>
        <v>5</v>
      </c>
      <c r="AG39" s="278">
        <f t="shared" si="9"/>
        <v>5</v>
      </c>
      <c r="AH39" s="278">
        <f t="shared" si="10"/>
        <v>65</v>
      </c>
    </row>
    <row r="40" spans="2:34" ht="25" customHeight="1" x14ac:dyDescent="0.35">
      <c r="B40" s="126" t="s">
        <v>1317</v>
      </c>
      <c r="C40" s="299" t="s">
        <v>92</v>
      </c>
      <c r="D40" s="299" t="s">
        <v>181</v>
      </c>
      <c r="E40" s="126" t="s">
        <v>938</v>
      </c>
      <c r="F40" s="126" t="s">
        <v>994</v>
      </c>
      <c r="G40" s="140">
        <f>7+20.41389/60</f>
        <v>7.3402314999999998</v>
      </c>
      <c r="H40" s="140">
        <f>134+29.44061/60</f>
        <v>134.49067683333334</v>
      </c>
      <c r="I40" s="113" t="s">
        <v>380</v>
      </c>
      <c r="J40" s="113" t="s">
        <v>311</v>
      </c>
      <c r="K40" s="128" t="s">
        <v>311</v>
      </c>
      <c r="L40" s="114">
        <v>22</v>
      </c>
      <c r="M40" s="114">
        <v>10</v>
      </c>
      <c r="N40" s="129" t="s">
        <v>298</v>
      </c>
      <c r="O40" s="129" t="s">
        <v>298</v>
      </c>
      <c r="P40" s="134">
        <v>3</v>
      </c>
      <c r="Q40" s="134">
        <v>3</v>
      </c>
      <c r="R40" s="134">
        <v>3</v>
      </c>
      <c r="S40" s="416">
        <f t="shared" si="0"/>
        <v>60</v>
      </c>
      <c r="T40" s="416"/>
      <c r="U40" s="420">
        <f t="shared" si="1"/>
        <v>1045000</v>
      </c>
      <c r="V40" s="420">
        <f t="shared" si="2"/>
        <v>20900</v>
      </c>
      <c r="W40" s="108"/>
      <c r="X40" s="108"/>
      <c r="Y40" s="108"/>
      <c r="Z40" s="278">
        <f t="shared" si="3"/>
        <v>3</v>
      </c>
      <c r="AA40" s="278">
        <f t="shared" si="4"/>
        <v>3</v>
      </c>
      <c r="AB40" s="278">
        <f t="shared" si="5"/>
        <v>3</v>
      </c>
      <c r="AC40" s="278">
        <f t="shared" si="6"/>
        <v>39</v>
      </c>
      <c r="AD40" s="108"/>
      <c r="AE40" s="278">
        <f t="shared" si="7"/>
        <v>5</v>
      </c>
      <c r="AF40" s="278">
        <f t="shared" si="8"/>
        <v>5</v>
      </c>
      <c r="AG40" s="278">
        <f t="shared" si="9"/>
        <v>5</v>
      </c>
      <c r="AH40" s="278">
        <f t="shared" si="10"/>
        <v>65</v>
      </c>
    </row>
    <row r="41" spans="2:34" ht="25" customHeight="1" x14ac:dyDescent="0.35">
      <c r="B41" s="126" t="s">
        <v>1375</v>
      </c>
      <c r="C41" s="299" t="s">
        <v>92</v>
      </c>
      <c r="D41" s="299" t="s">
        <v>181</v>
      </c>
      <c r="E41" s="126" t="s">
        <v>939</v>
      </c>
      <c r="F41" s="126" t="s">
        <v>800</v>
      </c>
      <c r="G41" s="140">
        <f>7+20.89511/60</f>
        <v>7.3482518333333333</v>
      </c>
      <c r="H41" s="140">
        <f>134+29.04053/60</f>
        <v>134.48400883333332</v>
      </c>
      <c r="I41" s="113" t="s">
        <v>380</v>
      </c>
      <c r="J41" s="113" t="s">
        <v>311</v>
      </c>
      <c r="K41" s="128" t="s">
        <v>311</v>
      </c>
      <c r="L41" s="114">
        <v>60</v>
      </c>
      <c r="M41" s="114">
        <v>4</v>
      </c>
      <c r="N41" s="129" t="s">
        <v>439</v>
      </c>
      <c r="O41" s="129" t="s">
        <v>298</v>
      </c>
      <c r="P41" s="134">
        <v>2</v>
      </c>
      <c r="Q41" s="134">
        <v>2</v>
      </c>
      <c r="R41" s="134">
        <v>5</v>
      </c>
      <c r="S41" s="416">
        <f t="shared" si="0"/>
        <v>54</v>
      </c>
      <c r="T41" s="416"/>
      <c r="U41" s="420">
        <f t="shared" si="1"/>
        <v>1140000</v>
      </c>
      <c r="V41" s="420">
        <f t="shared" si="2"/>
        <v>22800</v>
      </c>
      <c r="W41" s="108"/>
      <c r="X41" s="108"/>
      <c r="Y41" s="108"/>
      <c r="Z41" s="278">
        <f t="shared" si="3"/>
        <v>2</v>
      </c>
      <c r="AA41" s="278">
        <f t="shared" si="4"/>
        <v>2</v>
      </c>
      <c r="AB41" s="278">
        <f t="shared" si="5"/>
        <v>5</v>
      </c>
      <c r="AC41" s="278">
        <f t="shared" si="6"/>
        <v>35</v>
      </c>
      <c r="AD41" s="108"/>
      <c r="AE41" s="278">
        <f t="shared" si="7"/>
        <v>5</v>
      </c>
      <c r="AF41" s="278">
        <f t="shared" si="8"/>
        <v>5</v>
      </c>
      <c r="AG41" s="278">
        <f t="shared" si="9"/>
        <v>5</v>
      </c>
      <c r="AH41" s="278">
        <f t="shared" si="10"/>
        <v>65</v>
      </c>
    </row>
    <row r="42" spans="2:34" ht="25" customHeight="1" x14ac:dyDescent="0.35">
      <c r="B42" s="126" t="s">
        <v>1319</v>
      </c>
      <c r="C42" s="299" t="s">
        <v>92</v>
      </c>
      <c r="D42" s="299" t="s">
        <v>181</v>
      </c>
      <c r="E42" s="126" t="s">
        <v>1320</v>
      </c>
      <c r="F42" s="126" t="s">
        <v>1173</v>
      </c>
      <c r="G42" s="140">
        <f>7+2/60+56/3600</f>
        <v>7.0488888888888885</v>
      </c>
      <c r="H42" s="140">
        <f>134+15/60+59/3600</f>
        <v>134.26638888888888</v>
      </c>
      <c r="I42" s="113" t="s">
        <v>502</v>
      </c>
      <c r="J42" s="113" t="s">
        <v>311</v>
      </c>
      <c r="K42" s="128" t="s">
        <v>311</v>
      </c>
      <c r="L42" s="114">
        <v>76</v>
      </c>
      <c r="M42" s="114">
        <v>30</v>
      </c>
      <c r="N42" s="129" t="s">
        <v>298</v>
      </c>
      <c r="O42" s="129" t="s">
        <v>298</v>
      </c>
      <c r="P42" s="134">
        <v>5</v>
      </c>
      <c r="Q42" s="134">
        <v>4</v>
      </c>
      <c r="R42" s="134">
        <v>5</v>
      </c>
      <c r="S42" s="416">
        <f t="shared" si="0"/>
        <v>94</v>
      </c>
      <c r="T42" s="416"/>
      <c r="U42" s="420">
        <f t="shared" si="1"/>
        <v>10830000</v>
      </c>
      <c r="V42" s="420">
        <f t="shared" si="2"/>
        <v>216600</v>
      </c>
      <c r="W42" s="108"/>
      <c r="X42" s="108"/>
      <c r="Y42" s="108"/>
      <c r="Z42" s="278">
        <f t="shared" si="3"/>
        <v>5</v>
      </c>
      <c r="AA42" s="278">
        <f t="shared" si="4"/>
        <v>4</v>
      </c>
      <c r="AB42" s="278">
        <f t="shared" si="5"/>
        <v>5</v>
      </c>
      <c r="AC42" s="278">
        <f t="shared" si="6"/>
        <v>61</v>
      </c>
      <c r="AD42" s="108"/>
      <c r="AE42" s="278">
        <f t="shared" si="7"/>
        <v>5</v>
      </c>
      <c r="AF42" s="278">
        <f t="shared" si="8"/>
        <v>5</v>
      </c>
      <c r="AG42" s="278">
        <f t="shared" si="9"/>
        <v>5</v>
      </c>
      <c r="AH42" s="278">
        <f t="shared" si="10"/>
        <v>65</v>
      </c>
    </row>
    <row r="43" spans="2:34" ht="25" customHeight="1" x14ac:dyDescent="0.35">
      <c r="B43" s="126" t="s">
        <v>1322</v>
      </c>
      <c r="C43" s="299" t="s">
        <v>92</v>
      </c>
      <c r="D43" s="299" t="s">
        <v>181</v>
      </c>
      <c r="E43" s="126" t="s">
        <v>1323</v>
      </c>
      <c r="F43" s="126" t="s">
        <v>1173</v>
      </c>
      <c r="G43" s="140">
        <f>6+59/60+10/3600</f>
        <v>6.9861111111111116</v>
      </c>
      <c r="H43" s="140">
        <f>134+13/60+20/3600</f>
        <v>134.22222222222223</v>
      </c>
      <c r="I43" s="113" t="s">
        <v>983</v>
      </c>
      <c r="J43" s="113" t="s">
        <v>311</v>
      </c>
      <c r="K43" s="128" t="s">
        <v>311</v>
      </c>
      <c r="L43" s="114">
        <v>110</v>
      </c>
      <c r="M43" s="114">
        <v>33</v>
      </c>
      <c r="N43" s="129" t="s">
        <v>439</v>
      </c>
      <c r="O43" s="129" t="s">
        <v>1366</v>
      </c>
      <c r="P43" s="134">
        <v>2</v>
      </c>
      <c r="Q43" s="134">
        <v>2</v>
      </c>
      <c r="R43" s="134">
        <v>2</v>
      </c>
      <c r="S43" s="416">
        <f t="shared" si="0"/>
        <v>40</v>
      </c>
      <c r="T43" s="416"/>
      <c r="U43" s="420">
        <f t="shared" si="1"/>
        <v>17242500</v>
      </c>
      <c r="V43" s="420">
        <f t="shared" si="2"/>
        <v>344900</v>
      </c>
      <c r="W43" s="108"/>
      <c r="X43" s="108"/>
      <c r="Y43" s="108"/>
      <c r="Z43" s="278">
        <f t="shared" si="3"/>
        <v>2</v>
      </c>
      <c r="AA43" s="278">
        <f t="shared" si="4"/>
        <v>2</v>
      </c>
      <c r="AB43" s="278">
        <f t="shared" si="5"/>
        <v>2</v>
      </c>
      <c r="AC43" s="278">
        <f t="shared" si="6"/>
        <v>26</v>
      </c>
      <c r="AD43" s="108"/>
      <c r="AE43" s="278">
        <f t="shared" si="7"/>
        <v>5</v>
      </c>
      <c r="AF43" s="278">
        <f t="shared" si="8"/>
        <v>5</v>
      </c>
      <c r="AG43" s="278">
        <f t="shared" si="9"/>
        <v>5</v>
      </c>
      <c r="AH43" s="278">
        <f t="shared" si="10"/>
        <v>65</v>
      </c>
    </row>
    <row r="44" spans="2:34" ht="25" customHeight="1" x14ac:dyDescent="0.35">
      <c r="B44" s="126" t="s">
        <v>1321</v>
      </c>
      <c r="C44" s="299" t="s">
        <v>92</v>
      </c>
      <c r="D44" s="299" t="s">
        <v>181</v>
      </c>
      <c r="E44" s="126" t="s">
        <v>1324</v>
      </c>
      <c r="F44" s="126" t="s">
        <v>1177</v>
      </c>
      <c r="G44" s="140">
        <f>6+54/60+21/3600</f>
        <v>6.9058333333333337</v>
      </c>
      <c r="H44" s="140">
        <f>134+7/60+47/3600</f>
        <v>134.12972222222223</v>
      </c>
      <c r="I44" s="113">
        <v>1988</v>
      </c>
      <c r="J44" s="113" t="s">
        <v>311</v>
      </c>
      <c r="K44" s="128" t="s">
        <v>311</v>
      </c>
      <c r="L44" s="114">
        <v>75</v>
      </c>
      <c r="M44" s="114">
        <v>10</v>
      </c>
      <c r="N44" s="129" t="s">
        <v>298</v>
      </c>
      <c r="O44" s="129" t="s">
        <v>298</v>
      </c>
      <c r="P44" s="134">
        <v>4</v>
      </c>
      <c r="Q44" s="134">
        <v>3</v>
      </c>
      <c r="R44" s="134">
        <v>4</v>
      </c>
      <c r="S44" s="416">
        <f t="shared" si="0"/>
        <v>74</v>
      </c>
      <c r="T44" s="416"/>
      <c r="U44" s="420">
        <f t="shared" si="1"/>
        <v>3562500</v>
      </c>
      <c r="V44" s="420">
        <f t="shared" si="2"/>
        <v>71300</v>
      </c>
      <c r="W44" s="108"/>
      <c r="X44" s="108"/>
      <c r="Y44" s="108"/>
      <c r="Z44" s="278">
        <f t="shared" si="3"/>
        <v>4</v>
      </c>
      <c r="AA44" s="278">
        <f t="shared" si="4"/>
        <v>3</v>
      </c>
      <c r="AB44" s="278">
        <f t="shared" si="5"/>
        <v>4</v>
      </c>
      <c r="AC44" s="278">
        <f t="shared" si="6"/>
        <v>48</v>
      </c>
      <c r="AD44" s="108"/>
      <c r="AE44" s="278">
        <f t="shared" si="7"/>
        <v>5</v>
      </c>
      <c r="AF44" s="278">
        <f t="shared" si="8"/>
        <v>5</v>
      </c>
      <c r="AG44" s="278">
        <f t="shared" si="9"/>
        <v>5</v>
      </c>
      <c r="AH44" s="278">
        <f t="shared" si="10"/>
        <v>65</v>
      </c>
    </row>
    <row r="45" spans="2:34" ht="25" customHeight="1" x14ac:dyDescent="0.3">
      <c r="B45" s="126"/>
      <c r="C45" s="299"/>
      <c r="D45" s="299"/>
      <c r="E45" s="126"/>
      <c r="F45" s="126"/>
      <c r="G45" s="299"/>
      <c r="H45" s="299"/>
      <c r="I45" s="113"/>
      <c r="J45" s="113"/>
      <c r="K45" s="128"/>
      <c r="L45" s="114"/>
      <c r="M45" s="114"/>
      <c r="N45" s="129"/>
      <c r="O45" s="129"/>
      <c r="P45" s="134"/>
      <c r="Q45" s="115"/>
      <c r="R45" s="115"/>
      <c r="S45" s="232" t="e">
        <f t="shared" si="0"/>
        <v>#DIV/0!</v>
      </c>
      <c r="T45" s="421" t="s">
        <v>1621</v>
      </c>
      <c r="U45" s="422">
        <f>SUM(U4:U44)</f>
        <v>340881137.5</v>
      </c>
      <c r="V45" s="422">
        <f>SUM(V4:V44)</f>
        <v>6818300</v>
      </c>
      <c r="W45" s="108"/>
      <c r="X45" s="108"/>
      <c r="Y45" s="108"/>
      <c r="Z45" s="278">
        <f t="shared" si="3"/>
        <v>0</v>
      </c>
      <c r="AA45" s="278">
        <f t="shared" si="4"/>
        <v>0</v>
      </c>
      <c r="AB45" s="278">
        <f t="shared" si="5"/>
        <v>0</v>
      </c>
      <c r="AC45" s="278">
        <f t="shared" si="6"/>
        <v>0</v>
      </c>
      <c r="AD45" s="108"/>
      <c r="AE45" s="278">
        <f t="shared" si="7"/>
        <v>0</v>
      </c>
      <c r="AF45" s="278">
        <f t="shared" si="8"/>
        <v>0</v>
      </c>
      <c r="AG45" s="278">
        <f t="shared" si="9"/>
        <v>0</v>
      </c>
      <c r="AH45" s="278">
        <f t="shared" si="10"/>
        <v>0</v>
      </c>
    </row>
    <row r="46" spans="2:34" ht="25" customHeight="1" x14ac:dyDescent="0.3">
      <c r="B46" s="126"/>
      <c r="C46" s="299"/>
      <c r="D46" s="299"/>
      <c r="E46" s="126"/>
      <c r="F46" s="126"/>
      <c r="G46" s="299"/>
      <c r="H46" s="299"/>
      <c r="I46" s="113"/>
      <c r="J46" s="113"/>
      <c r="K46" s="128"/>
      <c r="L46" s="114"/>
      <c r="M46" s="114"/>
      <c r="N46" s="129"/>
      <c r="O46" s="129"/>
      <c r="P46" s="134"/>
      <c r="Q46" s="115"/>
      <c r="R46" s="115"/>
      <c r="S46" s="232" t="e">
        <f t="shared" si="0"/>
        <v>#DIV/0!</v>
      </c>
      <c r="T46" s="421"/>
      <c r="U46" s="108"/>
      <c r="V46" s="108"/>
      <c r="W46" s="108"/>
      <c r="X46" s="108"/>
      <c r="Y46" s="108"/>
      <c r="Z46" s="278">
        <f t="shared" si="3"/>
        <v>0</v>
      </c>
      <c r="AA46" s="278">
        <f t="shared" si="4"/>
        <v>0</v>
      </c>
      <c r="AB46" s="278">
        <f t="shared" si="5"/>
        <v>0</v>
      </c>
      <c r="AC46" s="278">
        <f t="shared" si="6"/>
        <v>0</v>
      </c>
      <c r="AD46" s="108"/>
      <c r="AE46" s="278">
        <f t="shared" si="7"/>
        <v>0</v>
      </c>
      <c r="AF46" s="278">
        <f t="shared" si="8"/>
        <v>0</v>
      </c>
      <c r="AG46" s="278">
        <f t="shared" si="9"/>
        <v>0</v>
      </c>
      <c r="AH46" s="278">
        <f t="shared" si="10"/>
        <v>0</v>
      </c>
    </row>
    <row r="47" spans="2:34" ht="25" customHeight="1" x14ac:dyDescent="0.3">
      <c r="B47" s="126"/>
      <c r="C47" s="299"/>
      <c r="D47" s="299"/>
      <c r="E47" s="126"/>
      <c r="F47" s="126"/>
      <c r="G47" s="299"/>
      <c r="H47" s="299"/>
      <c r="I47" s="113"/>
      <c r="J47" s="113"/>
      <c r="K47" s="128"/>
      <c r="L47" s="114"/>
      <c r="M47" s="114"/>
      <c r="N47" s="129"/>
      <c r="O47" s="129"/>
      <c r="P47" s="134"/>
      <c r="Q47" s="115"/>
      <c r="R47" s="115"/>
      <c r="S47" s="232" t="e">
        <f t="shared" si="0"/>
        <v>#DIV/0!</v>
      </c>
      <c r="T47" s="421"/>
      <c r="U47" s="108"/>
      <c r="V47" s="108"/>
      <c r="W47" s="108"/>
      <c r="X47" s="108"/>
      <c r="Y47" s="108"/>
      <c r="Z47" s="278">
        <f t="shared" si="3"/>
        <v>0</v>
      </c>
      <c r="AA47" s="278">
        <f t="shared" si="4"/>
        <v>0</v>
      </c>
      <c r="AB47" s="278">
        <f t="shared" si="5"/>
        <v>0</v>
      </c>
      <c r="AC47" s="278">
        <f t="shared" si="6"/>
        <v>0</v>
      </c>
      <c r="AD47" s="108"/>
      <c r="AE47" s="278">
        <f t="shared" si="7"/>
        <v>0</v>
      </c>
      <c r="AF47" s="278">
        <f t="shared" si="8"/>
        <v>0</v>
      </c>
      <c r="AG47" s="278">
        <f t="shared" si="9"/>
        <v>0</v>
      </c>
      <c r="AH47" s="278">
        <f t="shared" si="10"/>
        <v>0</v>
      </c>
    </row>
    <row r="48" spans="2:34" ht="25" customHeight="1" x14ac:dyDescent="0.3">
      <c r="B48" s="126"/>
      <c r="C48" s="299"/>
      <c r="D48" s="299"/>
      <c r="E48" s="126"/>
      <c r="F48" s="126"/>
      <c r="G48" s="299"/>
      <c r="H48" s="299"/>
      <c r="I48" s="113"/>
      <c r="J48" s="113"/>
      <c r="K48" s="128"/>
      <c r="L48" s="114"/>
      <c r="M48" s="114"/>
      <c r="N48" s="129"/>
      <c r="O48" s="129"/>
      <c r="P48" s="134"/>
      <c r="Q48" s="115"/>
      <c r="R48" s="115"/>
      <c r="S48" s="232" t="e">
        <f t="shared" si="0"/>
        <v>#DIV/0!</v>
      </c>
      <c r="T48" s="421"/>
      <c r="U48" s="108"/>
      <c r="V48" s="108"/>
      <c r="W48" s="108"/>
      <c r="X48" s="108"/>
      <c r="Y48" s="108"/>
      <c r="Z48" s="278">
        <f t="shared" si="3"/>
        <v>0</v>
      </c>
      <c r="AA48" s="278">
        <f t="shared" si="4"/>
        <v>0</v>
      </c>
      <c r="AB48" s="278">
        <f t="shared" si="5"/>
        <v>0</v>
      </c>
      <c r="AC48" s="278">
        <f t="shared" si="6"/>
        <v>0</v>
      </c>
      <c r="AD48" s="108"/>
      <c r="AE48" s="278">
        <f t="shared" si="7"/>
        <v>0</v>
      </c>
      <c r="AF48" s="278">
        <f t="shared" si="8"/>
        <v>0</v>
      </c>
      <c r="AG48" s="278">
        <f t="shared" si="9"/>
        <v>0</v>
      </c>
      <c r="AH48" s="278">
        <f t="shared" si="10"/>
        <v>0</v>
      </c>
    </row>
    <row r="49" spans="2:34" ht="25" customHeight="1" x14ac:dyDescent="0.3">
      <c r="B49" s="126"/>
      <c r="C49" s="299"/>
      <c r="D49" s="299"/>
      <c r="E49" s="126"/>
      <c r="F49" s="126"/>
      <c r="G49" s="299"/>
      <c r="H49" s="299"/>
      <c r="I49" s="113"/>
      <c r="J49" s="113"/>
      <c r="K49" s="128"/>
      <c r="L49" s="114"/>
      <c r="M49" s="114"/>
      <c r="N49" s="129"/>
      <c r="O49" s="129"/>
      <c r="P49" s="134"/>
      <c r="Q49" s="115"/>
      <c r="R49" s="115"/>
      <c r="S49" s="232" t="e">
        <f t="shared" si="0"/>
        <v>#DIV/0!</v>
      </c>
      <c r="T49" s="421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</row>
    <row r="50" spans="2:34" ht="25" customHeight="1" x14ac:dyDescent="0.3">
      <c r="B50" s="126"/>
      <c r="C50" s="299"/>
      <c r="D50" s="299"/>
      <c r="E50" s="126"/>
      <c r="F50" s="126"/>
      <c r="G50" s="299"/>
      <c r="H50" s="299"/>
      <c r="I50" s="113"/>
      <c r="J50" s="113"/>
      <c r="K50" s="128"/>
      <c r="L50" s="114"/>
      <c r="M50" s="114"/>
      <c r="N50" s="129"/>
      <c r="O50" s="129"/>
      <c r="P50" s="134"/>
      <c r="Q50" s="115"/>
      <c r="R50" s="115"/>
      <c r="S50" s="232" t="e">
        <f t="shared" si="0"/>
        <v>#DIV/0!</v>
      </c>
      <c r="T50" s="421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</row>
    <row r="51" spans="2:34" ht="25" customHeight="1" x14ac:dyDescent="0.3">
      <c r="B51" s="126"/>
      <c r="C51" s="299"/>
      <c r="D51" s="299"/>
      <c r="E51" s="126"/>
      <c r="F51" s="126"/>
      <c r="G51" s="299"/>
      <c r="H51" s="299"/>
      <c r="I51" s="113"/>
      <c r="J51" s="113"/>
      <c r="K51" s="128"/>
      <c r="L51" s="114"/>
      <c r="M51" s="114"/>
      <c r="N51" s="129"/>
      <c r="O51" s="129"/>
      <c r="P51" s="134"/>
      <c r="Q51" s="115"/>
      <c r="R51" s="115"/>
      <c r="S51" s="232" t="e">
        <f t="shared" si="0"/>
        <v>#DIV/0!</v>
      </c>
      <c r="T51" s="421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</row>
    <row r="52" spans="2:34" ht="25" customHeight="1" x14ac:dyDescent="0.3">
      <c r="B52" s="126"/>
      <c r="C52" s="299"/>
      <c r="D52" s="299"/>
      <c r="E52" s="126"/>
      <c r="F52" s="126"/>
      <c r="G52" s="299"/>
      <c r="H52" s="299"/>
      <c r="I52" s="113"/>
      <c r="J52" s="113"/>
      <c r="K52" s="128"/>
      <c r="L52" s="114"/>
      <c r="M52" s="114"/>
      <c r="N52" s="129"/>
      <c r="O52" s="129"/>
      <c r="P52" s="134"/>
      <c r="Q52" s="115"/>
      <c r="R52" s="115"/>
      <c r="S52" s="109"/>
      <c r="T52" s="109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</row>
    <row r="53" spans="2:34" ht="25" customHeight="1" x14ac:dyDescent="0.3">
      <c r="B53" s="126"/>
      <c r="C53" s="299"/>
      <c r="D53" s="299"/>
      <c r="E53" s="126"/>
      <c r="F53" s="126"/>
      <c r="G53" s="299"/>
      <c r="H53" s="299"/>
      <c r="I53" s="113"/>
      <c r="J53" s="113"/>
      <c r="K53" s="128"/>
      <c r="L53" s="114"/>
      <c r="M53" s="114"/>
      <c r="N53" s="129"/>
      <c r="O53" s="129"/>
      <c r="P53" s="134"/>
      <c r="Q53" s="115"/>
      <c r="R53" s="115"/>
      <c r="S53" s="109"/>
      <c r="T53" s="109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</row>
    <row r="54" spans="2:34" ht="25" customHeight="1" x14ac:dyDescent="0.3">
      <c r="B54" s="126"/>
      <c r="C54" s="299"/>
      <c r="D54" s="299"/>
      <c r="E54" s="126"/>
      <c r="F54" s="126"/>
      <c r="G54" s="299"/>
      <c r="H54" s="299"/>
      <c r="I54" s="113"/>
      <c r="J54" s="113"/>
      <c r="K54" s="128"/>
      <c r="L54" s="114"/>
      <c r="M54" s="114"/>
      <c r="N54" s="129"/>
      <c r="O54" s="129"/>
      <c r="P54" s="134"/>
      <c r="Q54" s="115"/>
      <c r="R54" s="115"/>
      <c r="S54" s="109"/>
      <c r="T54" s="109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</row>
    <row r="55" spans="2:34" ht="25" customHeight="1" x14ac:dyDescent="0.35">
      <c r="B55" s="126"/>
      <c r="C55" s="299"/>
      <c r="D55" s="299"/>
      <c r="E55" s="126"/>
      <c r="F55" s="126"/>
      <c r="G55" s="299"/>
      <c r="H55" s="299"/>
      <c r="I55" s="113"/>
      <c r="J55" s="113"/>
      <c r="K55" s="128"/>
      <c r="L55" s="114"/>
      <c r="M55" s="114"/>
      <c r="N55" s="129"/>
      <c r="O55" s="129"/>
      <c r="P55" s="134"/>
      <c r="Q55" s="115"/>
      <c r="R55" s="115"/>
    </row>
    <row r="56" spans="2:34" ht="25" customHeight="1" x14ac:dyDescent="0.35">
      <c r="B56" s="126"/>
      <c r="C56" s="299"/>
      <c r="D56" s="299"/>
      <c r="E56" s="126"/>
      <c r="F56" s="126"/>
      <c r="G56" s="299"/>
      <c r="H56" s="299"/>
      <c r="I56" s="113"/>
      <c r="J56" s="113"/>
      <c r="K56" s="128"/>
      <c r="L56" s="114"/>
      <c r="M56" s="114"/>
      <c r="N56" s="129"/>
      <c r="O56" s="129"/>
      <c r="P56" s="134"/>
      <c r="Q56" s="115"/>
      <c r="R56" s="115"/>
    </row>
    <row r="57" spans="2:34" ht="25" customHeight="1" x14ac:dyDescent="0.35">
      <c r="B57" s="126"/>
      <c r="C57" s="299"/>
      <c r="D57" s="299"/>
      <c r="E57" s="126"/>
      <c r="F57" s="126"/>
      <c r="G57" s="299"/>
      <c r="H57" s="299"/>
      <c r="I57" s="113"/>
      <c r="J57" s="113"/>
      <c r="K57" s="128"/>
      <c r="L57" s="114"/>
      <c r="M57" s="114"/>
      <c r="N57" s="129"/>
      <c r="O57" s="129"/>
      <c r="P57" s="134"/>
      <c r="Q57" s="115"/>
      <c r="R57" s="115"/>
    </row>
    <row r="58" spans="2:34" ht="25" customHeight="1" x14ac:dyDescent="0.35">
      <c r="B58" s="126"/>
      <c r="C58" s="299"/>
      <c r="D58" s="299"/>
      <c r="E58" s="126"/>
      <c r="F58" s="126"/>
      <c r="G58" s="299"/>
      <c r="H58" s="299"/>
      <c r="I58" s="113"/>
      <c r="J58" s="113"/>
      <c r="K58" s="128"/>
      <c r="L58" s="114"/>
      <c r="M58" s="114"/>
      <c r="N58" s="129"/>
      <c r="O58" s="129"/>
      <c r="P58" s="134"/>
      <c r="Q58" s="115"/>
      <c r="R58" s="115"/>
    </row>
    <row r="59" spans="2:34" ht="25" customHeight="1" x14ac:dyDescent="0.35">
      <c r="B59" s="126"/>
      <c r="C59" s="299"/>
      <c r="D59" s="299"/>
      <c r="E59" s="126"/>
      <c r="F59" s="126"/>
      <c r="G59" s="299"/>
      <c r="H59" s="299"/>
      <c r="I59" s="113"/>
      <c r="J59" s="113"/>
      <c r="K59" s="128"/>
      <c r="L59" s="114"/>
      <c r="M59" s="114"/>
      <c r="N59" s="129"/>
      <c r="O59" s="129"/>
      <c r="P59" s="115"/>
      <c r="Q59" s="115"/>
      <c r="R59" s="115"/>
    </row>
    <row r="60" spans="2:34" ht="25" customHeight="1" x14ac:dyDescent="0.35">
      <c r="B60" s="126"/>
      <c r="C60" s="299"/>
      <c r="D60" s="299"/>
      <c r="E60" s="126"/>
      <c r="F60" s="126"/>
      <c r="G60" s="299"/>
      <c r="H60" s="299"/>
      <c r="I60" s="113"/>
      <c r="J60" s="113"/>
      <c r="K60" s="128"/>
      <c r="L60" s="114"/>
      <c r="M60" s="114"/>
      <c r="N60" s="129"/>
      <c r="O60" s="129"/>
      <c r="P60" s="115"/>
      <c r="Q60" s="115"/>
      <c r="R60" s="115"/>
    </row>
    <row r="61" spans="2:34" ht="25" customHeight="1" x14ac:dyDescent="0.35">
      <c r="B61" s="126"/>
      <c r="C61" s="299"/>
      <c r="D61" s="299"/>
      <c r="E61" s="126"/>
      <c r="F61" s="126"/>
      <c r="G61" s="299"/>
      <c r="H61" s="299"/>
      <c r="I61" s="113"/>
      <c r="J61" s="113"/>
      <c r="K61" s="128"/>
      <c r="L61" s="114"/>
      <c r="M61" s="114"/>
      <c r="N61" s="129"/>
      <c r="O61" s="129"/>
      <c r="P61" s="115"/>
      <c r="Q61" s="115"/>
      <c r="R61" s="115"/>
    </row>
    <row r="62" spans="2:34" ht="25" customHeight="1" x14ac:dyDescent="0.35">
      <c r="B62" s="126"/>
      <c r="C62" s="299"/>
      <c r="D62" s="299"/>
      <c r="E62" s="126"/>
      <c r="F62" s="126"/>
      <c r="G62" s="299"/>
      <c r="H62" s="299"/>
      <c r="I62" s="113"/>
      <c r="J62" s="113"/>
      <c r="K62" s="128"/>
      <c r="L62" s="114"/>
      <c r="M62" s="114"/>
      <c r="N62" s="129"/>
      <c r="O62" s="129"/>
      <c r="P62" s="115"/>
      <c r="Q62" s="115"/>
      <c r="R62" s="115"/>
    </row>
    <row r="63" spans="2:34" ht="25" customHeight="1" x14ac:dyDescent="0.35">
      <c r="B63" s="126"/>
      <c r="C63" s="299"/>
      <c r="D63" s="299"/>
      <c r="E63" s="126"/>
      <c r="F63" s="126"/>
      <c r="G63" s="299"/>
      <c r="H63" s="299"/>
      <c r="I63" s="113"/>
      <c r="J63" s="113"/>
      <c r="K63" s="128"/>
      <c r="L63" s="114"/>
      <c r="M63" s="114"/>
      <c r="N63" s="129"/>
      <c r="O63" s="129"/>
      <c r="P63" s="115"/>
      <c r="Q63" s="115"/>
      <c r="R63" s="115"/>
    </row>
    <row r="64" spans="2:34" ht="25" customHeight="1" x14ac:dyDescent="0.35">
      <c r="B64" s="126"/>
      <c r="C64" s="299"/>
      <c r="D64" s="299"/>
      <c r="E64" s="126"/>
      <c r="F64" s="126"/>
      <c r="G64" s="299"/>
      <c r="H64" s="299"/>
      <c r="I64" s="113"/>
      <c r="J64" s="113"/>
      <c r="K64" s="128"/>
      <c r="L64" s="114"/>
      <c r="M64" s="114"/>
      <c r="N64" s="129"/>
      <c r="O64" s="129"/>
      <c r="P64" s="115"/>
      <c r="Q64" s="115"/>
      <c r="R64" s="115"/>
    </row>
    <row r="65" spans="2:18" ht="25" customHeight="1" x14ac:dyDescent="0.35">
      <c r="B65" s="126"/>
      <c r="C65" s="299"/>
      <c r="D65" s="299"/>
      <c r="E65" s="126"/>
      <c r="F65" s="126"/>
      <c r="G65" s="299"/>
      <c r="H65" s="299"/>
      <c r="I65" s="113"/>
      <c r="J65" s="113"/>
      <c r="K65" s="128"/>
      <c r="L65" s="114"/>
      <c r="M65" s="114"/>
      <c r="N65" s="129"/>
      <c r="O65" s="129"/>
      <c r="P65" s="115"/>
      <c r="Q65" s="115"/>
      <c r="R65" s="115"/>
    </row>
    <row r="66" spans="2:18" ht="25" customHeight="1" x14ac:dyDescent="0.35">
      <c r="B66" s="126"/>
      <c r="C66" s="299"/>
      <c r="D66" s="299"/>
      <c r="E66" s="126"/>
      <c r="F66" s="126"/>
      <c r="G66" s="299"/>
      <c r="H66" s="299"/>
      <c r="I66" s="113"/>
      <c r="J66" s="113"/>
      <c r="K66" s="128"/>
      <c r="L66" s="114"/>
      <c r="M66" s="114"/>
      <c r="N66" s="129"/>
      <c r="O66" s="129"/>
      <c r="P66" s="115"/>
      <c r="Q66" s="115"/>
      <c r="R66" s="115"/>
    </row>
    <row r="67" spans="2:18" ht="25" customHeight="1" x14ac:dyDescent="0.35">
      <c r="B67" s="126"/>
      <c r="C67" s="299"/>
      <c r="D67" s="299"/>
      <c r="E67" s="126"/>
      <c r="F67" s="126"/>
      <c r="G67" s="299"/>
      <c r="H67" s="299"/>
      <c r="I67" s="113"/>
      <c r="J67" s="113"/>
      <c r="K67" s="128"/>
      <c r="L67" s="114"/>
      <c r="M67" s="114"/>
      <c r="N67" s="129"/>
      <c r="O67" s="129"/>
      <c r="P67" s="115"/>
      <c r="Q67" s="115"/>
      <c r="R67" s="115"/>
    </row>
    <row r="68" spans="2:18" ht="25" customHeight="1" x14ac:dyDescent="0.35">
      <c r="B68" s="126"/>
      <c r="C68" s="299"/>
      <c r="D68" s="299"/>
      <c r="E68" s="126"/>
      <c r="F68" s="126"/>
      <c r="G68" s="299"/>
      <c r="H68" s="299"/>
      <c r="I68" s="113"/>
      <c r="J68" s="113"/>
      <c r="K68" s="128"/>
      <c r="L68" s="114"/>
      <c r="M68" s="114"/>
      <c r="N68" s="129"/>
      <c r="O68" s="129"/>
      <c r="P68" s="115"/>
      <c r="Q68" s="115"/>
      <c r="R68" s="115"/>
    </row>
    <row r="69" spans="2:18" ht="25" customHeight="1" x14ac:dyDescent="0.35">
      <c r="B69" s="126"/>
      <c r="C69" s="299"/>
      <c r="D69" s="299"/>
      <c r="E69" s="126"/>
      <c r="F69" s="126"/>
      <c r="G69" s="299"/>
      <c r="H69" s="299"/>
      <c r="I69" s="113"/>
      <c r="J69" s="113"/>
      <c r="K69" s="128"/>
      <c r="L69" s="114"/>
      <c r="M69" s="114"/>
      <c r="N69" s="129"/>
      <c r="O69" s="129"/>
      <c r="P69" s="115"/>
      <c r="Q69" s="115"/>
      <c r="R69" s="115"/>
    </row>
    <row r="70" spans="2:18" ht="25" customHeight="1" x14ac:dyDescent="0.35">
      <c r="B70" s="126"/>
      <c r="C70" s="299"/>
      <c r="D70" s="299"/>
      <c r="E70" s="126"/>
      <c r="F70" s="126"/>
      <c r="G70" s="299"/>
      <c r="H70" s="299"/>
      <c r="I70" s="113"/>
      <c r="J70" s="113"/>
      <c r="K70" s="128"/>
      <c r="L70" s="114"/>
      <c r="M70" s="114"/>
      <c r="N70" s="129"/>
      <c r="O70" s="129"/>
      <c r="P70" s="115"/>
      <c r="Q70" s="115"/>
      <c r="R70" s="115"/>
    </row>
    <row r="71" spans="2:18" ht="25" customHeight="1" x14ac:dyDescent="0.35">
      <c r="B71" s="126"/>
      <c r="C71" s="299"/>
      <c r="D71" s="299"/>
      <c r="E71" s="126"/>
      <c r="F71" s="126"/>
      <c r="G71" s="299"/>
      <c r="H71" s="299"/>
      <c r="I71" s="113"/>
      <c r="J71" s="113"/>
      <c r="K71" s="128"/>
      <c r="L71" s="114"/>
      <c r="M71" s="114"/>
      <c r="N71" s="129"/>
      <c r="O71" s="129"/>
      <c r="P71" s="115"/>
      <c r="Q71" s="115"/>
      <c r="R71" s="115"/>
    </row>
    <row r="72" spans="2:18" ht="25" customHeight="1" x14ac:dyDescent="0.35">
      <c r="B72" s="126"/>
      <c r="C72" s="299"/>
      <c r="D72" s="299"/>
      <c r="E72" s="126"/>
      <c r="F72" s="126"/>
      <c r="G72" s="299"/>
      <c r="H72" s="299"/>
      <c r="I72" s="113"/>
      <c r="J72" s="113"/>
      <c r="K72" s="128"/>
      <c r="L72" s="114"/>
      <c r="M72" s="114"/>
      <c r="N72" s="129"/>
      <c r="O72" s="129"/>
      <c r="P72" s="115"/>
      <c r="Q72" s="115"/>
      <c r="R72" s="115"/>
    </row>
    <row r="73" spans="2:18" ht="25" customHeight="1" x14ac:dyDescent="0.35">
      <c r="B73" s="126"/>
      <c r="C73" s="299"/>
      <c r="D73" s="299"/>
      <c r="E73" s="126"/>
      <c r="F73" s="126"/>
      <c r="G73" s="299"/>
      <c r="H73" s="299"/>
      <c r="I73" s="113"/>
      <c r="J73" s="113"/>
      <c r="K73" s="128"/>
      <c r="L73" s="114"/>
      <c r="M73" s="114"/>
      <c r="N73" s="129"/>
      <c r="O73" s="129"/>
      <c r="P73" s="115"/>
      <c r="Q73" s="115"/>
      <c r="R73" s="115"/>
    </row>
    <row r="74" spans="2:18" ht="25" customHeight="1" x14ac:dyDescent="0.35">
      <c r="B74" s="126"/>
      <c r="C74" s="299"/>
      <c r="D74" s="299"/>
      <c r="E74" s="126"/>
      <c r="F74" s="126"/>
      <c r="G74" s="299"/>
      <c r="H74" s="299"/>
      <c r="I74" s="113"/>
      <c r="J74" s="113"/>
      <c r="K74" s="128"/>
      <c r="L74" s="114"/>
      <c r="M74" s="114"/>
      <c r="N74" s="129"/>
      <c r="O74" s="129"/>
      <c r="P74" s="115"/>
      <c r="Q74" s="115"/>
      <c r="R74" s="115"/>
    </row>
    <row r="75" spans="2:18" ht="25" customHeight="1" x14ac:dyDescent="0.35">
      <c r="B75" s="126"/>
      <c r="C75" s="299"/>
      <c r="D75" s="299"/>
      <c r="E75" s="126"/>
      <c r="F75" s="126"/>
      <c r="G75" s="299"/>
      <c r="H75" s="299"/>
      <c r="I75" s="113"/>
      <c r="J75" s="113"/>
      <c r="K75" s="128"/>
      <c r="L75" s="114"/>
      <c r="M75" s="114"/>
      <c r="N75" s="129"/>
      <c r="O75" s="129"/>
      <c r="P75" s="115"/>
      <c r="Q75" s="115"/>
      <c r="R75" s="115"/>
    </row>
    <row r="76" spans="2:18" ht="25" customHeight="1" x14ac:dyDescent="0.35">
      <c r="B76" s="126"/>
      <c r="C76" s="299"/>
      <c r="D76" s="299"/>
      <c r="E76" s="126"/>
      <c r="F76" s="126"/>
      <c r="G76" s="299"/>
      <c r="H76" s="299"/>
      <c r="I76" s="113"/>
      <c r="J76" s="113"/>
      <c r="K76" s="128"/>
      <c r="L76" s="114"/>
      <c r="M76" s="114"/>
      <c r="N76" s="129"/>
      <c r="O76" s="129"/>
      <c r="P76" s="115"/>
      <c r="Q76" s="115"/>
      <c r="R76" s="115"/>
    </row>
    <row r="77" spans="2:18" ht="25" customHeight="1" x14ac:dyDescent="0.35">
      <c r="B77" s="126"/>
      <c r="C77" s="299"/>
      <c r="D77" s="299"/>
      <c r="E77" s="126"/>
      <c r="F77" s="126"/>
      <c r="G77" s="299"/>
      <c r="H77" s="299"/>
      <c r="I77" s="113"/>
      <c r="J77" s="113"/>
      <c r="K77" s="128"/>
      <c r="L77" s="114"/>
      <c r="M77" s="114"/>
      <c r="N77" s="129"/>
      <c r="O77" s="129"/>
      <c r="P77" s="115"/>
      <c r="Q77" s="115"/>
      <c r="R77" s="115"/>
    </row>
    <row r="78" spans="2:18" ht="25" customHeight="1" x14ac:dyDescent="0.35">
      <c r="B78" s="126"/>
      <c r="C78" s="299"/>
      <c r="D78" s="299"/>
      <c r="E78" s="126"/>
      <c r="F78" s="126"/>
      <c r="G78" s="299"/>
      <c r="H78" s="299"/>
      <c r="I78" s="113"/>
      <c r="J78" s="113"/>
      <c r="K78" s="128"/>
      <c r="L78" s="114"/>
      <c r="M78" s="114"/>
      <c r="N78" s="129"/>
      <c r="O78" s="129"/>
      <c r="P78" s="115"/>
      <c r="Q78" s="115"/>
      <c r="R78" s="115"/>
    </row>
    <row r="79" spans="2:18" ht="25" customHeight="1" x14ac:dyDescent="0.35">
      <c r="B79" s="126"/>
      <c r="C79" s="299"/>
      <c r="D79" s="299"/>
      <c r="E79" s="126"/>
      <c r="F79" s="126"/>
      <c r="G79" s="299"/>
      <c r="H79" s="299"/>
      <c r="I79" s="113"/>
      <c r="J79" s="113"/>
      <c r="K79" s="128"/>
      <c r="L79" s="114"/>
      <c r="M79" s="114"/>
      <c r="N79" s="129"/>
      <c r="O79" s="129"/>
      <c r="P79" s="115"/>
      <c r="Q79" s="115"/>
      <c r="R79" s="115"/>
    </row>
    <row r="80" spans="2:18" ht="25" customHeight="1" x14ac:dyDescent="0.35">
      <c r="B80" s="126"/>
      <c r="C80" s="299"/>
      <c r="D80" s="299"/>
      <c r="E80" s="126"/>
      <c r="F80" s="126"/>
      <c r="G80" s="299"/>
      <c r="H80" s="299"/>
      <c r="I80" s="113"/>
      <c r="J80" s="113"/>
      <c r="K80" s="128"/>
      <c r="L80" s="114"/>
      <c r="M80" s="114"/>
      <c r="N80" s="129"/>
      <c r="O80" s="129"/>
      <c r="P80" s="115"/>
      <c r="Q80" s="115"/>
      <c r="R80" s="115"/>
    </row>
    <row r="81" spans="2:18" ht="25" customHeight="1" x14ac:dyDescent="0.35">
      <c r="B81" s="126"/>
      <c r="C81" s="299"/>
      <c r="D81" s="299"/>
      <c r="E81" s="126"/>
      <c r="F81" s="126"/>
      <c r="G81" s="299"/>
      <c r="H81" s="299"/>
      <c r="I81" s="113"/>
      <c r="J81" s="113"/>
      <c r="K81" s="128"/>
      <c r="L81" s="114"/>
      <c r="M81" s="114"/>
      <c r="N81" s="129"/>
      <c r="O81" s="129"/>
      <c r="P81" s="115"/>
      <c r="Q81" s="115"/>
      <c r="R81" s="115"/>
    </row>
    <row r="82" spans="2:18" ht="25" customHeight="1" x14ac:dyDescent="0.35">
      <c r="B82" s="126"/>
      <c r="C82" s="299"/>
      <c r="D82" s="299"/>
      <c r="E82" s="126"/>
      <c r="F82" s="126"/>
      <c r="G82" s="299"/>
      <c r="H82" s="299"/>
      <c r="I82" s="113"/>
      <c r="J82" s="113"/>
      <c r="K82" s="128"/>
      <c r="L82" s="114"/>
      <c r="M82" s="114"/>
      <c r="N82" s="129"/>
      <c r="O82" s="129"/>
      <c r="P82" s="115"/>
      <c r="Q82" s="115"/>
      <c r="R82" s="115"/>
    </row>
    <row r="83" spans="2:18" ht="25" customHeight="1" x14ac:dyDescent="0.35">
      <c r="B83" s="126"/>
      <c r="C83" s="299"/>
      <c r="D83" s="299"/>
      <c r="E83" s="126"/>
      <c r="F83" s="126"/>
      <c r="G83" s="299"/>
      <c r="H83" s="299"/>
      <c r="I83" s="113"/>
      <c r="J83" s="113"/>
      <c r="K83" s="128"/>
      <c r="L83" s="114"/>
      <c r="M83" s="114"/>
      <c r="N83" s="129"/>
      <c r="O83" s="129"/>
      <c r="P83" s="115"/>
      <c r="Q83" s="115"/>
      <c r="R83" s="115"/>
    </row>
    <row r="84" spans="2:18" ht="25" customHeight="1" x14ac:dyDescent="0.35">
      <c r="B84" s="126"/>
      <c r="C84" s="299"/>
      <c r="D84" s="299"/>
      <c r="E84" s="126"/>
      <c r="F84" s="126"/>
      <c r="G84" s="299"/>
      <c r="H84" s="299"/>
      <c r="I84" s="113"/>
      <c r="J84" s="113"/>
      <c r="K84" s="128"/>
      <c r="L84" s="114"/>
      <c r="M84" s="114"/>
      <c r="N84" s="129"/>
      <c r="O84" s="129"/>
      <c r="P84" s="115"/>
      <c r="Q84" s="115"/>
      <c r="R84" s="115"/>
    </row>
    <row r="85" spans="2:18" ht="25" customHeight="1" x14ac:dyDescent="0.35">
      <c r="B85" s="126"/>
      <c r="C85" s="299"/>
      <c r="D85" s="299"/>
      <c r="E85" s="126"/>
      <c r="F85" s="126"/>
      <c r="G85" s="299"/>
      <c r="H85" s="299"/>
      <c r="I85" s="113"/>
      <c r="J85" s="113"/>
      <c r="K85" s="128"/>
      <c r="L85" s="114"/>
      <c r="M85" s="114"/>
      <c r="N85" s="129"/>
      <c r="O85" s="129"/>
      <c r="P85" s="115"/>
      <c r="Q85" s="115"/>
      <c r="R85" s="115"/>
    </row>
    <row r="86" spans="2:18" ht="25" customHeight="1" x14ac:dyDescent="0.35">
      <c r="B86" s="126"/>
      <c r="C86" s="299"/>
      <c r="D86" s="299"/>
      <c r="E86" s="126"/>
      <c r="F86" s="126"/>
      <c r="G86" s="299"/>
      <c r="H86" s="299"/>
      <c r="I86" s="113"/>
      <c r="J86" s="113"/>
      <c r="K86" s="128"/>
      <c r="L86" s="114"/>
      <c r="M86" s="114"/>
      <c r="N86" s="129"/>
      <c r="O86" s="129"/>
      <c r="P86" s="115"/>
      <c r="Q86" s="115"/>
      <c r="R86" s="115"/>
    </row>
    <row r="87" spans="2:18" ht="25" customHeight="1" x14ac:dyDescent="0.35">
      <c r="B87" s="126"/>
      <c r="C87" s="299"/>
      <c r="D87" s="299"/>
      <c r="E87" s="126"/>
      <c r="F87" s="126"/>
      <c r="G87" s="299"/>
      <c r="H87" s="299"/>
      <c r="I87" s="113"/>
      <c r="J87" s="113"/>
      <c r="K87" s="128"/>
      <c r="L87" s="114"/>
      <c r="M87" s="114"/>
      <c r="N87" s="129"/>
      <c r="O87" s="129"/>
      <c r="P87" s="115"/>
      <c r="Q87" s="115"/>
      <c r="R87" s="115"/>
    </row>
    <row r="88" spans="2:18" ht="25" customHeight="1" x14ac:dyDescent="0.35">
      <c r="B88" s="126"/>
      <c r="C88" s="299"/>
      <c r="D88" s="299"/>
      <c r="E88" s="126"/>
      <c r="F88" s="126"/>
      <c r="G88" s="299"/>
      <c r="H88" s="299"/>
      <c r="I88" s="113"/>
      <c r="J88" s="113"/>
      <c r="K88" s="128"/>
      <c r="L88" s="114"/>
      <c r="M88" s="114"/>
      <c r="N88" s="129"/>
      <c r="O88" s="129"/>
      <c r="P88" s="115"/>
      <c r="Q88" s="115"/>
      <c r="R88" s="115"/>
    </row>
    <row r="89" spans="2:18" ht="25" customHeight="1" x14ac:dyDescent="0.35">
      <c r="B89" s="126"/>
      <c r="C89" s="299"/>
      <c r="D89" s="299"/>
      <c r="E89" s="126"/>
      <c r="F89" s="126"/>
      <c r="G89" s="299"/>
      <c r="H89" s="299"/>
      <c r="I89" s="113"/>
      <c r="J89" s="113"/>
      <c r="K89" s="128"/>
      <c r="L89" s="114"/>
      <c r="M89" s="114"/>
      <c r="N89" s="129"/>
      <c r="O89" s="129"/>
      <c r="P89" s="115"/>
      <c r="Q89" s="115"/>
      <c r="R89" s="115"/>
    </row>
    <row r="90" spans="2:18" ht="25" customHeight="1" x14ac:dyDescent="0.35">
      <c r="B90" s="126"/>
      <c r="C90" s="299"/>
      <c r="D90" s="299"/>
      <c r="E90" s="126"/>
      <c r="F90" s="126"/>
      <c r="G90" s="299"/>
      <c r="H90" s="299"/>
      <c r="I90" s="113"/>
      <c r="J90" s="113"/>
      <c r="K90" s="128"/>
      <c r="L90" s="114"/>
      <c r="M90" s="114"/>
      <c r="N90" s="129"/>
      <c r="O90" s="129"/>
      <c r="P90" s="115"/>
      <c r="Q90" s="115"/>
      <c r="R90" s="115"/>
    </row>
    <row r="91" spans="2:18" ht="25" customHeight="1" x14ac:dyDescent="0.35">
      <c r="B91" s="126"/>
      <c r="C91" s="299"/>
      <c r="D91" s="299"/>
      <c r="E91" s="126"/>
      <c r="F91" s="126"/>
      <c r="G91" s="299"/>
      <c r="H91" s="299"/>
      <c r="I91" s="113"/>
      <c r="J91" s="113"/>
      <c r="K91" s="128"/>
      <c r="L91" s="114"/>
      <c r="M91" s="114"/>
      <c r="N91" s="129"/>
      <c r="O91" s="129"/>
      <c r="P91" s="115"/>
      <c r="Q91" s="115"/>
      <c r="R91" s="115"/>
    </row>
    <row r="92" spans="2:18" ht="25" customHeight="1" x14ac:dyDescent="0.35">
      <c r="B92" s="126"/>
      <c r="C92" s="299"/>
      <c r="D92" s="299"/>
      <c r="E92" s="126"/>
      <c r="F92" s="126"/>
      <c r="G92" s="299"/>
      <c r="H92" s="299"/>
      <c r="I92" s="113"/>
      <c r="J92" s="113"/>
      <c r="K92" s="128"/>
      <c r="L92" s="114"/>
      <c r="M92" s="114"/>
      <c r="N92" s="129"/>
      <c r="O92" s="129"/>
      <c r="P92" s="115"/>
      <c r="Q92" s="115"/>
      <c r="R92" s="115"/>
    </row>
    <row r="93" spans="2:18" ht="25" customHeight="1" x14ac:dyDescent="0.35">
      <c r="B93" s="126"/>
      <c r="C93" s="299"/>
      <c r="D93" s="299"/>
      <c r="E93" s="126"/>
      <c r="F93" s="126"/>
      <c r="G93" s="299"/>
      <c r="H93" s="299"/>
      <c r="I93" s="113"/>
      <c r="J93" s="113"/>
      <c r="K93" s="128"/>
      <c r="L93" s="114"/>
      <c r="M93" s="114"/>
      <c r="N93" s="129"/>
      <c r="O93" s="129"/>
      <c r="P93" s="115"/>
      <c r="Q93" s="115"/>
      <c r="R93" s="115"/>
    </row>
    <row r="94" spans="2:18" ht="25" customHeight="1" x14ac:dyDescent="0.35">
      <c r="B94" s="126"/>
      <c r="C94" s="299"/>
      <c r="D94" s="299"/>
      <c r="E94" s="126"/>
      <c r="F94" s="126"/>
      <c r="G94" s="299"/>
      <c r="H94" s="299"/>
      <c r="I94" s="113"/>
      <c r="J94" s="113"/>
      <c r="K94" s="128"/>
      <c r="L94" s="114"/>
      <c r="M94" s="114"/>
      <c r="N94" s="129"/>
      <c r="O94" s="129"/>
      <c r="P94" s="115"/>
      <c r="Q94" s="115"/>
      <c r="R94" s="115"/>
    </row>
    <row r="95" spans="2:18" ht="25" customHeight="1" x14ac:dyDescent="0.35">
      <c r="B95" s="126"/>
      <c r="C95" s="299"/>
      <c r="D95" s="299"/>
      <c r="E95" s="126"/>
      <c r="F95" s="126"/>
      <c r="G95" s="299"/>
      <c r="H95" s="299"/>
      <c r="I95" s="113"/>
      <c r="J95" s="113"/>
      <c r="K95" s="128"/>
      <c r="L95" s="114"/>
      <c r="M95" s="114"/>
      <c r="N95" s="129"/>
      <c r="O95" s="129"/>
      <c r="P95" s="115"/>
      <c r="Q95" s="115"/>
      <c r="R95" s="115"/>
    </row>
    <row r="96" spans="2:18" ht="25" customHeight="1" x14ac:dyDescent="0.35">
      <c r="B96" s="126"/>
      <c r="C96" s="299"/>
      <c r="D96" s="299"/>
      <c r="E96" s="126"/>
      <c r="F96" s="126"/>
      <c r="G96" s="299"/>
      <c r="H96" s="299"/>
      <c r="I96" s="113"/>
      <c r="J96" s="113"/>
      <c r="K96" s="128"/>
      <c r="L96" s="114"/>
      <c r="M96" s="114"/>
      <c r="N96" s="129"/>
      <c r="O96" s="129"/>
      <c r="P96" s="115"/>
      <c r="Q96" s="115"/>
      <c r="R96" s="115"/>
    </row>
    <row r="97" spans="2:18" ht="25" customHeight="1" x14ac:dyDescent="0.35">
      <c r="B97" s="126"/>
      <c r="C97" s="299"/>
      <c r="D97" s="299"/>
      <c r="E97" s="126"/>
      <c r="F97" s="126"/>
      <c r="G97" s="299"/>
      <c r="H97" s="299"/>
      <c r="I97" s="113"/>
      <c r="J97" s="113"/>
      <c r="K97" s="128"/>
      <c r="L97" s="114"/>
      <c r="M97" s="114"/>
      <c r="N97" s="129"/>
      <c r="O97" s="129"/>
      <c r="P97" s="115"/>
      <c r="Q97" s="115"/>
      <c r="R97" s="115"/>
    </row>
    <row r="98" spans="2:18" ht="25" customHeight="1" x14ac:dyDescent="0.35">
      <c r="B98" s="126"/>
      <c r="C98" s="299"/>
      <c r="D98" s="299"/>
      <c r="E98" s="126"/>
      <c r="F98" s="126"/>
      <c r="G98" s="299"/>
      <c r="H98" s="299"/>
      <c r="I98" s="113"/>
      <c r="J98" s="113"/>
      <c r="K98" s="128"/>
      <c r="L98" s="114"/>
      <c r="M98" s="114"/>
      <c r="N98" s="129"/>
      <c r="O98" s="129"/>
      <c r="P98" s="115"/>
      <c r="Q98" s="115"/>
      <c r="R98" s="115"/>
    </row>
    <row r="99" spans="2:18" ht="25" customHeight="1" x14ac:dyDescent="0.35">
      <c r="B99" s="126"/>
      <c r="C99" s="299"/>
      <c r="D99" s="299"/>
      <c r="E99" s="126"/>
      <c r="F99" s="126"/>
      <c r="G99" s="299"/>
      <c r="H99" s="299"/>
      <c r="I99" s="113"/>
      <c r="J99" s="113"/>
      <c r="K99" s="128"/>
      <c r="L99" s="114"/>
      <c r="M99" s="114"/>
      <c r="N99" s="129"/>
      <c r="O99" s="129"/>
      <c r="P99" s="115"/>
      <c r="Q99" s="115"/>
      <c r="R99" s="115"/>
    </row>
    <row r="100" spans="2:18" ht="25" customHeight="1" x14ac:dyDescent="0.35">
      <c r="B100" s="126"/>
      <c r="C100" s="299"/>
      <c r="D100" s="299"/>
      <c r="E100" s="126"/>
      <c r="F100" s="126"/>
      <c r="G100" s="299"/>
      <c r="H100" s="299"/>
      <c r="I100" s="113"/>
      <c r="J100" s="113"/>
      <c r="K100" s="128"/>
      <c r="L100" s="114"/>
      <c r="M100" s="114"/>
      <c r="N100" s="129"/>
      <c r="O100" s="129"/>
      <c r="P100" s="115"/>
      <c r="Q100" s="115"/>
      <c r="R100" s="115"/>
    </row>
    <row r="101" spans="2:18" ht="25" customHeight="1" x14ac:dyDescent="0.35">
      <c r="B101" s="126"/>
      <c r="C101" s="299"/>
      <c r="D101" s="299"/>
      <c r="E101" s="126"/>
      <c r="F101" s="126"/>
      <c r="G101" s="299"/>
      <c r="H101" s="299"/>
      <c r="I101" s="113"/>
      <c r="J101" s="113"/>
      <c r="K101" s="128"/>
      <c r="L101" s="114"/>
      <c r="M101" s="114"/>
      <c r="N101" s="129"/>
      <c r="O101" s="129"/>
      <c r="P101" s="115"/>
      <c r="Q101" s="115"/>
      <c r="R101" s="115"/>
    </row>
    <row r="102" spans="2:18" ht="25" customHeight="1" x14ac:dyDescent="0.35">
      <c r="B102" s="126"/>
      <c r="C102" s="299"/>
      <c r="D102" s="299"/>
      <c r="E102" s="126"/>
      <c r="F102" s="126"/>
      <c r="G102" s="299"/>
      <c r="H102" s="299"/>
      <c r="I102" s="113"/>
      <c r="J102" s="113"/>
      <c r="K102" s="128"/>
      <c r="L102" s="114"/>
      <c r="M102" s="114"/>
      <c r="N102" s="129"/>
      <c r="O102" s="129"/>
      <c r="P102" s="115"/>
      <c r="Q102" s="115"/>
      <c r="R102" s="115"/>
    </row>
    <row r="103" spans="2:18" ht="25" customHeight="1" x14ac:dyDescent="0.35">
      <c r="B103" s="126"/>
      <c r="C103" s="299"/>
      <c r="D103" s="299"/>
      <c r="E103" s="126"/>
      <c r="F103" s="126"/>
      <c r="G103" s="299"/>
      <c r="H103" s="299"/>
      <c r="I103" s="113"/>
      <c r="J103" s="113"/>
      <c r="K103" s="128"/>
      <c r="L103" s="114"/>
      <c r="M103" s="114"/>
      <c r="N103" s="129"/>
      <c r="O103" s="129"/>
      <c r="P103" s="115"/>
      <c r="Q103" s="115"/>
      <c r="R103" s="115"/>
    </row>
    <row r="104" spans="2:18" ht="25" customHeight="1" x14ac:dyDescent="0.35">
      <c r="B104" s="126"/>
      <c r="C104" s="299"/>
      <c r="D104" s="299"/>
      <c r="E104" s="126"/>
      <c r="F104" s="126"/>
      <c r="G104" s="299"/>
      <c r="H104" s="299"/>
      <c r="I104" s="113"/>
      <c r="J104" s="113"/>
      <c r="K104" s="128"/>
      <c r="L104" s="114"/>
      <c r="M104" s="114"/>
      <c r="N104" s="129"/>
      <c r="O104" s="129"/>
      <c r="P104" s="115"/>
      <c r="Q104" s="115"/>
      <c r="R104" s="115"/>
    </row>
    <row r="105" spans="2:18" ht="25" customHeight="1" x14ac:dyDescent="0.35">
      <c r="B105" s="126"/>
      <c r="C105" s="299"/>
      <c r="D105" s="299"/>
      <c r="E105" s="126"/>
      <c r="F105" s="126"/>
      <c r="G105" s="299"/>
      <c r="H105" s="299"/>
      <c r="I105" s="113"/>
      <c r="J105" s="113"/>
      <c r="K105" s="128"/>
      <c r="L105" s="114"/>
      <c r="M105" s="114"/>
      <c r="N105" s="129"/>
      <c r="O105" s="129"/>
      <c r="P105" s="115"/>
      <c r="Q105" s="115"/>
      <c r="R105" s="115"/>
    </row>
    <row r="106" spans="2:18" ht="25" customHeight="1" x14ac:dyDescent="0.35">
      <c r="B106" s="126"/>
      <c r="C106" s="299"/>
      <c r="D106" s="299"/>
      <c r="E106" s="126"/>
      <c r="F106" s="126"/>
      <c r="G106" s="299"/>
      <c r="H106" s="299"/>
      <c r="I106" s="113"/>
      <c r="J106" s="113"/>
      <c r="K106" s="128"/>
      <c r="L106" s="114"/>
      <c r="M106" s="114"/>
      <c r="N106" s="129"/>
      <c r="O106" s="129"/>
      <c r="P106" s="115"/>
      <c r="Q106" s="115"/>
      <c r="R106" s="115"/>
    </row>
    <row r="107" spans="2:18" ht="25" customHeight="1" x14ac:dyDescent="0.35">
      <c r="B107" s="126"/>
      <c r="C107" s="299"/>
      <c r="D107" s="299"/>
      <c r="E107" s="126"/>
      <c r="F107" s="126"/>
      <c r="G107" s="299"/>
      <c r="H107" s="299"/>
      <c r="I107" s="113"/>
      <c r="J107" s="113"/>
      <c r="K107" s="128"/>
      <c r="L107" s="114"/>
      <c r="M107" s="114"/>
      <c r="N107" s="129"/>
      <c r="O107" s="129"/>
      <c r="P107" s="115"/>
      <c r="Q107" s="115"/>
      <c r="R107" s="115"/>
    </row>
    <row r="108" spans="2:18" ht="25" customHeight="1" x14ac:dyDescent="0.35">
      <c r="B108" s="126"/>
      <c r="C108" s="299"/>
      <c r="D108" s="299"/>
      <c r="E108" s="126"/>
      <c r="F108" s="126"/>
      <c r="G108" s="299"/>
      <c r="H108" s="299"/>
      <c r="I108" s="113"/>
      <c r="J108" s="113"/>
      <c r="K108" s="128"/>
      <c r="L108" s="114"/>
      <c r="M108" s="114"/>
      <c r="N108" s="129"/>
      <c r="O108" s="129"/>
      <c r="P108" s="115"/>
      <c r="Q108" s="115"/>
      <c r="R108" s="115"/>
    </row>
    <row r="109" spans="2:18" ht="25" customHeight="1" x14ac:dyDescent="0.35">
      <c r="B109" s="126"/>
      <c r="C109" s="299"/>
      <c r="D109" s="299"/>
      <c r="E109" s="126"/>
      <c r="F109" s="126"/>
      <c r="G109" s="299"/>
      <c r="H109" s="299"/>
      <c r="I109" s="113"/>
      <c r="J109" s="113"/>
      <c r="K109" s="128"/>
      <c r="L109" s="114"/>
      <c r="M109" s="114"/>
      <c r="N109" s="129"/>
      <c r="O109" s="129"/>
      <c r="P109" s="115"/>
      <c r="Q109" s="115"/>
      <c r="R109" s="115"/>
    </row>
    <row r="110" spans="2:18" ht="25" customHeight="1" x14ac:dyDescent="0.35">
      <c r="B110" s="126"/>
      <c r="C110" s="299"/>
      <c r="D110" s="299"/>
      <c r="E110" s="126"/>
      <c r="F110" s="126"/>
      <c r="G110" s="299"/>
      <c r="H110" s="299"/>
      <c r="I110" s="113"/>
      <c r="J110" s="113"/>
      <c r="K110" s="128"/>
      <c r="L110" s="114"/>
      <c r="M110" s="114"/>
      <c r="N110" s="129"/>
      <c r="O110" s="129"/>
      <c r="P110" s="115"/>
      <c r="Q110" s="115"/>
      <c r="R110" s="115"/>
    </row>
    <row r="111" spans="2:18" ht="25" customHeight="1" x14ac:dyDescent="0.35">
      <c r="B111" s="126"/>
      <c r="C111" s="299"/>
      <c r="D111" s="299"/>
      <c r="E111" s="126"/>
      <c r="F111" s="126"/>
      <c r="G111" s="299"/>
      <c r="H111" s="299"/>
      <c r="I111" s="113"/>
      <c r="J111" s="113"/>
      <c r="K111" s="128"/>
      <c r="L111" s="114"/>
      <c r="M111" s="114"/>
      <c r="N111" s="129"/>
      <c r="O111" s="129"/>
      <c r="P111" s="115"/>
      <c r="Q111" s="115"/>
      <c r="R111" s="115"/>
    </row>
    <row r="112" spans="2:18" ht="25" customHeight="1" x14ac:dyDescent="0.35">
      <c r="B112" s="126"/>
      <c r="C112" s="299"/>
      <c r="D112" s="299"/>
      <c r="E112" s="126"/>
      <c r="F112" s="126"/>
      <c r="G112" s="299"/>
      <c r="H112" s="299"/>
      <c r="I112" s="113"/>
      <c r="J112" s="113"/>
      <c r="K112" s="128"/>
      <c r="L112" s="114"/>
      <c r="M112" s="114"/>
      <c r="N112" s="129"/>
      <c r="O112" s="129"/>
      <c r="P112" s="115"/>
      <c r="Q112" s="115"/>
      <c r="R112" s="115"/>
    </row>
    <row r="113" spans="2:18" ht="25" customHeight="1" x14ac:dyDescent="0.35">
      <c r="B113" s="126"/>
      <c r="C113" s="299"/>
      <c r="D113" s="299"/>
      <c r="E113" s="126"/>
      <c r="F113" s="126"/>
      <c r="G113" s="299"/>
      <c r="H113" s="299"/>
      <c r="I113" s="113"/>
      <c r="J113" s="113"/>
      <c r="K113" s="128"/>
      <c r="L113" s="114"/>
      <c r="M113" s="114"/>
      <c r="N113" s="129"/>
      <c r="O113" s="129"/>
      <c r="P113" s="115"/>
      <c r="Q113" s="115"/>
      <c r="R113" s="115"/>
    </row>
    <row r="114" spans="2:18" ht="25" customHeight="1" x14ac:dyDescent="0.35">
      <c r="B114" s="126"/>
      <c r="C114" s="299"/>
      <c r="D114" s="299"/>
      <c r="E114" s="126"/>
      <c r="F114" s="126"/>
      <c r="G114" s="299"/>
      <c r="H114" s="299"/>
      <c r="I114" s="113"/>
      <c r="J114" s="113"/>
      <c r="K114" s="128"/>
      <c r="L114" s="114"/>
      <c r="M114" s="114"/>
      <c r="N114" s="129"/>
      <c r="O114" s="129"/>
      <c r="P114" s="115"/>
      <c r="Q114" s="115"/>
      <c r="R114" s="115"/>
    </row>
    <row r="115" spans="2:18" ht="25" customHeight="1" x14ac:dyDescent="0.35">
      <c r="B115" s="126"/>
      <c r="C115" s="299"/>
      <c r="D115" s="299"/>
      <c r="E115" s="126"/>
      <c r="F115" s="126"/>
      <c r="G115" s="299"/>
      <c r="H115" s="299"/>
      <c r="I115" s="113"/>
      <c r="J115" s="113"/>
      <c r="K115" s="128"/>
      <c r="L115" s="114"/>
      <c r="M115" s="114"/>
      <c r="N115" s="129"/>
      <c r="O115" s="129"/>
      <c r="P115" s="115"/>
      <c r="Q115" s="115"/>
      <c r="R115" s="115"/>
    </row>
    <row r="116" spans="2:18" ht="25" customHeight="1" x14ac:dyDescent="0.35">
      <c r="B116" s="126"/>
      <c r="C116" s="299"/>
      <c r="D116" s="299"/>
      <c r="E116" s="126"/>
      <c r="F116" s="126"/>
      <c r="G116" s="299"/>
      <c r="H116" s="299"/>
      <c r="I116" s="113"/>
      <c r="J116" s="113"/>
      <c r="K116" s="128"/>
      <c r="L116" s="114"/>
      <c r="M116" s="114"/>
      <c r="N116" s="129"/>
      <c r="O116" s="129"/>
      <c r="P116" s="115"/>
      <c r="Q116" s="115"/>
      <c r="R116" s="115"/>
    </row>
    <row r="117" spans="2:18" ht="25" customHeight="1" x14ac:dyDescent="0.35">
      <c r="B117" s="126"/>
      <c r="C117" s="299"/>
      <c r="D117" s="299"/>
      <c r="E117" s="126"/>
      <c r="F117" s="126"/>
      <c r="G117" s="299"/>
      <c r="H117" s="299"/>
      <c r="I117" s="113"/>
      <c r="J117" s="113"/>
      <c r="K117" s="128"/>
      <c r="L117" s="114"/>
      <c r="M117" s="114"/>
      <c r="N117" s="129"/>
      <c r="O117" s="129"/>
      <c r="P117" s="115"/>
      <c r="Q117" s="115"/>
      <c r="R117" s="115"/>
    </row>
    <row r="118" spans="2:18" ht="25" customHeight="1" x14ac:dyDescent="0.35">
      <c r="B118" s="126"/>
      <c r="C118" s="299"/>
      <c r="D118" s="299"/>
      <c r="E118" s="126"/>
      <c r="F118" s="126"/>
      <c r="G118" s="299"/>
      <c r="H118" s="299"/>
      <c r="I118" s="113"/>
      <c r="J118" s="113"/>
      <c r="K118" s="128"/>
      <c r="L118" s="114"/>
      <c r="M118" s="114"/>
      <c r="N118" s="129"/>
      <c r="O118" s="129"/>
      <c r="P118" s="115"/>
      <c r="Q118" s="115"/>
      <c r="R118" s="115"/>
    </row>
    <row r="119" spans="2:18" ht="25" customHeight="1" x14ac:dyDescent="0.35">
      <c r="B119" s="126"/>
      <c r="C119" s="299"/>
      <c r="D119" s="299"/>
      <c r="E119" s="126"/>
      <c r="F119" s="126"/>
      <c r="G119" s="299"/>
      <c r="H119" s="299"/>
      <c r="I119" s="113"/>
      <c r="J119" s="113"/>
      <c r="K119" s="128"/>
      <c r="L119" s="114"/>
      <c r="M119" s="114"/>
      <c r="N119" s="129"/>
      <c r="O119" s="129"/>
      <c r="P119" s="115"/>
      <c r="Q119" s="115"/>
      <c r="R119" s="115"/>
    </row>
    <row r="120" spans="2:18" ht="25" customHeight="1" x14ac:dyDescent="0.35">
      <c r="B120" s="126"/>
      <c r="C120" s="299"/>
      <c r="D120" s="299"/>
      <c r="E120" s="126"/>
      <c r="F120" s="126"/>
      <c r="G120" s="299"/>
      <c r="H120" s="299"/>
      <c r="I120" s="113"/>
      <c r="J120" s="113"/>
      <c r="K120" s="128"/>
      <c r="L120" s="114"/>
      <c r="M120" s="114"/>
      <c r="N120" s="129"/>
      <c r="O120" s="129"/>
      <c r="P120" s="115"/>
      <c r="Q120" s="115"/>
      <c r="R120" s="115"/>
    </row>
    <row r="121" spans="2:18" ht="25" customHeight="1" x14ac:dyDescent="0.35">
      <c r="B121" s="126"/>
      <c r="C121" s="299"/>
      <c r="D121" s="299"/>
      <c r="E121" s="126"/>
      <c r="F121" s="126"/>
      <c r="G121" s="299"/>
      <c r="H121" s="299"/>
      <c r="I121" s="113"/>
      <c r="J121" s="113"/>
      <c r="K121" s="128"/>
      <c r="L121" s="114"/>
      <c r="M121" s="114"/>
      <c r="N121" s="129"/>
      <c r="O121" s="129"/>
      <c r="P121" s="115"/>
      <c r="Q121" s="115"/>
      <c r="R121" s="115"/>
    </row>
    <row r="122" spans="2:18" ht="25" customHeight="1" x14ac:dyDescent="0.35">
      <c r="B122" s="126"/>
      <c r="C122" s="299"/>
      <c r="D122" s="299"/>
      <c r="E122" s="126"/>
      <c r="F122" s="126"/>
      <c r="G122" s="299"/>
      <c r="H122" s="299"/>
      <c r="I122" s="113"/>
      <c r="J122" s="113"/>
      <c r="K122" s="128"/>
      <c r="L122" s="114"/>
      <c r="M122" s="114"/>
      <c r="N122" s="129"/>
      <c r="O122" s="129"/>
      <c r="P122" s="115"/>
      <c r="Q122" s="115"/>
      <c r="R122" s="115"/>
    </row>
    <row r="123" spans="2:18" ht="25" customHeight="1" x14ac:dyDescent="0.35">
      <c r="B123" s="126"/>
      <c r="C123" s="299"/>
      <c r="D123" s="299"/>
      <c r="E123" s="126"/>
      <c r="F123" s="126"/>
      <c r="G123" s="299"/>
      <c r="H123" s="299"/>
      <c r="I123" s="113"/>
      <c r="J123" s="113"/>
      <c r="K123" s="128"/>
      <c r="L123" s="114"/>
      <c r="M123" s="114"/>
      <c r="N123" s="129"/>
      <c r="O123" s="129"/>
      <c r="P123" s="115"/>
      <c r="Q123" s="115"/>
      <c r="R123" s="115"/>
    </row>
    <row r="124" spans="2:18" ht="25" customHeight="1" x14ac:dyDescent="0.35">
      <c r="B124" s="126"/>
      <c r="C124" s="299"/>
      <c r="D124" s="299"/>
      <c r="E124" s="126"/>
      <c r="F124" s="126"/>
      <c r="G124" s="299"/>
      <c r="H124" s="299"/>
      <c r="I124" s="113"/>
      <c r="J124" s="113"/>
      <c r="K124" s="128"/>
      <c r="L124" s="114"/>
      <c r="M124" s="114"/>
      <c r="N124" s="129"/>
      <c r="O124" s="129"/>
      <c r="P124" s="115"/>
      <c r="Q124" s="115"/>
      <c r="R124" s="115"/>
    </row>
    <row r="125" spans="2:18" ht="25" customHeight="1" x14ac:dyDescent="0.35">
      <c r="B125" s="126"/>
      <c r="C125" s="299"/>
      <c r="D125" s="299"/>
      <c r="E125" s="126"/>
      <c r="F125" s="126"/>
      <c r="G125" s="299"/>
      <c r="H125" s="299"/>
      <c r="I125" s="113"/>
      <c r="J125" s="113"/>
      <c r="K125" s="128"/>
      <c r="L125" s="114"/>
      <c r="M125" s="114"/>
      <c r="N125" s="129"/>
      <c r="O125" s="129"/>
      <c r="P125" s="115"/>
      <c r="Q125" s="115"/>
      <c r="R125" s="115"/>
    </row>
    <row r="126" spans="2:18" ht="25" customHeight="1" x14ac:dyDescent="0.35">
      <c r="B126" s="126"/>
      <c r="C126" s="299"/>
      <c r="D126" s="299"/>
      <c r="E126" s="126"/>
      <c r="F126" s="126"/>
      <c r="G126" s="299"/>
      <c r="H126" s="299"/>
      <c r="I126" s="113"/>
      <c r="J126" s="113"/>
      <c r="K126" s="128"/>
      <c r="L126" s="114"/>
      <c r="M126" s="114"/>
      <c r="N126" s="129"/>
      <c r="O126" s="129"/>
      <c r="P126" s="115"/>
      <c r="Q126" s="115"/>
      <c r="R126" s="115"/>
    </row>
    <row r="127" spans="2:18" ht="25" customHeight="1" x14ac:dyDescent="0.35">
      <c r="B127" s="126"/>
      <c r="C127" s="299"/>
      <c r="D127" s="299"/>
      <c r="E127" s="126"/>
      <c r="F127" s="126"/>
      <c r="G127" s="299"/>
      <c r="H127" s="299"/>
      <c r="I127" s="113"/>
      <c r="J127" s="113"/>
      <c r="K127" s="128"/>
      <c r="L127" s="114"/>
      <c r="M127" s="114"/>
      <c r="N127" s="129"/>
      <c r="O127" s="129"/>
      <c r="P127" s="115"/>
      <c r="Q127" s="115"/>
      <c r="R127" s="115"/>
    </row>
    <row r="128" spans="2:18" ht="25" customHeight="1" x14ac:dyDescent="0.35">
      <c r="B128" s="126"/>
      <c r="C128" s="299"/>
      <c r="D128" s="299"/>
      <c r="E128" s="126"/>
      <c r="F128" s="126"/>
      <c r="G128" s="299"/>
      <c r="H128" s="299"/>
      <c r="I128" s="113"/>
      <c r="J128" s="113"/>
      <c r="K128" s="128"/>
      <c r="L128" s="114"/>
      <c r="M128" s="114"/>
      <c r="N128" s="129"/>
      <c r="O128" s="129"/>
      <c r="P128" s="115"/>
      <c r="Q128" s="115"/>
      <c r="R128" s="115"/>
    </row>
    <row r="129" spans="2:18" ht="25" customHeight="1" x14ac:dyDescent="0.35">
      <c r="B129" s="126"/>
      <c r="C129" s="299"/>
      <c r="D129" s="299"/>
      <c r="E129" s="126"/>
      <c r="F129" s="126"/>
      <c r="G129" s="299"/>
      <c r="H129" s="299"/>
      <c r="I129" s="113"/>
      <c r="J129" s="113"/>
      <c r="K129" s="128"/>
      <c r="L129" s="114"/>
      <c r="M129" s="114"/>
      <c r="N129" s="129"/>
      <c r="O129" s="129"/>
      <c r="P129" s="115"/>
      <c r="Q129" s="115"/>
      <c r="R129" s="115"/>
    </row>
    <row r="130" spans="2:18" ht="25" customHeight="1" x14ac:dyDescent="0.35">
      <c r="B130" s="126"/>
      <c r="C130" s="299"/>
      <c r="D130" s="299"/>
      <c r="E130" s="126"/>
      <c r="F130" s="126"/>
      <c r="G130" s="299"/>
      <c r="H130" s="299"/>
      <c r="I130" s="113"/>
      <c r="J130" s="113"/>
      <c r="K130" s="128"/>
      <c r="L130" s="114"/>
      <c r="M130" s="114"/>
      <c r="N130" s="129"/>
      <c r="O130" s="129"/>
      <c r="P130" s="115"/>
      <c r="Q130" s="115"/>
      <c r="R130" s="115"/>
    </row>
    <row r="131" spans="2:18" ht="25" customHeight="1" x14ac:dyDescent="0.35">
      <c r="B131" s="126"/>
      <c r="C131" s="299"/>
      <c r="D131" s="299"/>
      <c r="E131" s="126"/>
      <c r="F131" s="126"/>
      <c r="G131" s="299"/>
      <c r="H131" s="299"/>
      <c r="I131" s="113"/>
      <c r="J131" s="113"/>
      <c r="K131" s="128"/>
      <c r="L131" s="114"/>
      <c r="M131" s="114"/>
      <c r="N131" s="129"/>
      <c r="O131" s="129"/>
      <c r="P131" s="115"/>
      <c r="Q131" s="115"/>
      <c r="R131" s="115"/>
    </row>
    <row r="132" spans="2:18" ht="25" customHeight="1" x14ac:dyDescent="0.35">
      <c r="B132" s="126"/>
      <c r="C132" s="299"/>
      <c r="D132" s="299"/>
      <c r="E132" s="126"/>
      <c r="F132" s="126"/>
      <c r="G132" s="299"/>
      <c r="H132" s="299"/>
      <c r="I132" s="113"/>
      <c r="J132" s="113"/>
      <c r="K132" s="128"/>
      <c r="L132" s="114"/>
      <c r="M132" s="114"/>
      <c r="N132" s="129"/>
      <c r="O132" s="129"/>
      <c r="P132" s="115"/>
      <c r="Q132" s="115"/>
      <c r="R132" s="115"/>
    </row>
    <row r="133" spans="2:18" ht="25" customHeight="1" x14ac:dyDescent="0.35">
      <c r="B133" s="126"/>
      <c r="C133" s="299"/>
      <c r="D133" s="299"/>
      <c r="E133" s="126"/>
      <c r="F133" s="126"/>
      <c r="G133" s="299"/>
      <c r="H133" s="299"/>
      <c r="I133" s="113"/>
      <c r="J133" s="113"/>
      <c r="K133" s="128"/>
      <c r="L133" s="114"/>
      <c r="M133" s="114"/>
      <c r="N133" s="129"/>
      <c r="O133" s="129"/>
      <c r="P133" s="115"/>
      <c r="Q133" s="115"/>
      <c r="R133" s="115"/>
    </row>
    <row r="134" spans="2:18" ht="25" customHeight="1" x14ac:dyDescent="0.35">
      <c r="B134" s="126"/>
      <c r="C134" s="299"/>
      <c r="D134" s="299"/>
      <c r="E134" s="126"/>
      <c r="F134" s="126"/>
      <c r="G134" s="299"/>
      <c r="H134" s="299"/>
      <c r="I134" s="113"/>
      <c r="J134" s="113"/>
      <c r="K134" s="128"/>
      <c r="L134" s="114"/>
      <c r="M134" s="114"/>
      <c r="N134" s="129"/>
      <c r="O134" s="129"/>
      <c r="P134" s="115"/>
      <c r="Q134" s="115"/>
      <c r="R134" s="115"/>
    </row>
    <row r="135" spans="2:18" ht="25" customHeight="1" x14ac:dyDescent="0.35">
      <c r="B135" s="126"/>
      <c r="C135" s="299"/>
      <c r="D135" s="299"/>
      <c r="E135" s="126"/>
      <c r="F135" s="126"/>
      <c r="G135" s="299"/>
      <c r="H135" s="299"/>
      <c r="I135" s="113"/>
      <c r="J135" s="113"/>
      <c r="K135" s="128"/>
      <c r="L135" s="114"/>
      <c r="M135" s="114"/>
      <c r="N135" s="129"/>
      <c r="O135" s="129"/>
      <c r="P135" s="115"/>
      <c r="Q135" s="115"/>
      <c r="R135" s="115"/>
    </row>
    <row r="136" spans="2:18" ht="25" customHeight="1" x14ac:dyDescent="0.35">
      <c r="B136" s="126"/>
      <c r="C136" s="299"/>
      <c r="D136" s="299"/>
      <c r="E136" s="126"/>
      <c r="F136" s="126"/>
      <c r="G136" s="299"/>
      <c r="H136" s="299"/>
      <c r="I136" s="113"/>
      <c r="J136" s="113"/>
      <c r="K136" s="128"/>
      <c r="L136" s="114"/>
      <c r="M136" s="114"/>
      <c r="N136" s="129"/>
      <c r="O136" s="129"/>
      <c r="P136" s="115"/>
      <c r="Q136" s="115"/>
      <c r="R136" s="115"/>
    </row>
    <row r="137" spans="2:18" ht="25" customHeight="1" x14ac:dyDescent="0.35">
      <c r="B137" s="126"/>
      <c r="C137" s="299"/>
      <c r="D137" s="299"/>
      <c r="E137" s="126"/>
      <c r="F137" s="126"/>
      <c r="G137" s="299"/>
      <c r="H137" s="299"/>
      <c r="I137" s="113"/>
      <c r="J137" s="113"/>
      <c r="K137" s="128"/>
      <c r="L137" s="114"/>
      <c r="M137" s="114"/>
      <c r="N137" s="129"/>
      <c r="O137" s="129"/>
      <c r="P137" s="115"/>
      <c r="Q137" s="115"/>
      <c r="R137" s="115"/>
    </row>
    <row r="138" spans="2:18" ht="25" customHeight="1" x14ac:dyDescent="0.35">
      <c r="B138" s="126"/>
      <c r="C138" s="299"/>
      <c r="D138" s="299"/>
      <c r="E138" s="126"/>
      <c r="F138" s="126"/>
      <c r="G138" s="299"/>
      <c r="H138" s="299"/>
      <c r="I138" s="113"/>
      <c r="J138" s="113"/>
      <c r="K138" s="128"/>
      <c r="L138" s="114"/>
      <c r="M138" s="114"/>
      <c r="N138" s="129"/>
      <c r="O138" s="129"/>
      <c r="P138" s="115"/>
      <c r="Q138" s="115"/>
      <c r="R138" s="115"/>
    </row>
    <row r="139" spans="2:18" ht="25" customHeight="1" x14ac:dyDescent="0.35">
      <c r="B139" s="126"/>
      <c r="C139" s="299"/>
      <c r="D139" s="299"/>
      <c r="E139" s="126"/>
      <c r="F139" s="126"/>
      <c r="G139" s="299"/>
      <c r="H139" s="299"/>
      <c r="I139" s="113"/>
      <c r="J139" s="113"/>
      <c r="K139" s="128"/>
      <c r="L139" s="114"/>
      <c r="M139" s="114"/>
      <c r="N139" s="129"/>
      <c r="O139" s="129"/>
      <c r="P139" s="115"/>
      <c r="Q139" s="115"/>
      <c r="R139" s="115"/>
    </row>
    <row r="140" spans="2:18" ht="25" customHeight="1" x14ac:dyDescent="0.35">
      <c r="B140" s="126"/>
      <c r="C140" s="299"/>
      <c r="D140" s="299"/>
      <c r="E140" s="126"/>
      <c r="F140" s="126"/>
      <c r="G140" s="299"/>
      <c r="H140" s="299"/>
      <c r="I140" s="113"/>
      <c r="J140" s="113"/>
      <c r="K140" s="128"/>
      <c r="L140" s="114"/>
      <c r="M140" s="114"/>
      <c r="N140" s="129"/>
      <c r="O140" s="129"/>
      <c r="P140" s="115"/>
      <c r="Q140" s="115"/>
      <c r="R140" s="115"/>
    </row>
    <row r="141" spans="2:18" ht="25" customHeight="1" x14ac:dyDescent="0.35">
      <c r="B141" s="126"/>
      <c r="C141" s="299"/>
      <c r="D141" s="299"/>
      <c r="E141" s="126"/>
      <c r="F141" s="126"/>
      <c r="G141" s="299"/>
      <c r="H141" s="299"/>
      <c r="I141" s="113"/>
      <c r="J141" s="113"/>
      <c r="K141" s="128"/>
      <c r="L141" s="114"/>
      <c r="M141" s="114"/>
      <c r="N141" s="129"/>
      <c r="O141" s="129"/>
      <c r="P141" s="115"/>
      <c r="Q141" s="115"/>
      <c r="R141" s="115"/>
    </row>
    <row r="142" spans="2:18" ht="25" customHeight="1" x14ac:dyDescent="0.35">
      <c r="B142" s="126"/>
      <c r="C142" s="299"/>
      <c r="D142" s="299"/>
      <c r="E142" s="126"/>
      <c r="F142" s="126"/>
      <c r="G142" s="299"/>
      <c r="H142" s="299"/>
      <c r="I142" s="113"/>
      <c r="J142" s="113"/>
      <c r="K142" s="128"/>
      <c r="L142" s="114"/>
      <c r="M142" s="114"/>
      <c r="N142" s="129"/>
      <c r="O142" s="129"/>
      <c r="P142" s="115"/>
      <c r="Q142" s="115"/>
      <c r="R142" s="115"/>
    </row>
    <row r="143" spans="2:18" ht="25" customHeight="1" x14ac:dyDescent="0.35">
      <c r="B143" s="126"/>
      <c r="C143" s="299"/>
      <c r="D143" s="299"/>
      <c r="E143" s="126"/>
      <c r="F143" s="126"/>
      <c r="G143" s="299"/>
      <c r="H143" s="299"/>
      <c r="I143" s="113"/>
      <c r="J143" s="113"/>
      <c r="K143" s="128"/>
      <c r="L143" s="114"/>
      <c r="M143" s="114"/>
      <c r="N143" s="129"/>
      <c r="O143" s="129"/>
      <c r="P143" s="115"/>
      <c r="Q143" s="115"/>
      <c r="R143" s="115"/>
    </row>
    <row r="144" spans="2:18" ht="25" customHeight="1" x14ac:dyDescent="0.35">
      <c r="B144" s="126"/>
      <c r="C144" s="299"/>
      <c r="D144" s="299"/>
      <c r="E144" s="126"/>
      <c r="F144" s="126"/>
      <c r="G144" s="299"/>
      <c r="H144" s="299"/>
      <c r="I144" s="113"/>
      <c r="J144" s="113"/>
      <c r="K144" s="128"/>
      <c r="L144" s="114"/>
      <c r="M144" s="114"/>
      <c r="N144" s="129"/>
      <c r="O144" s="129"/>
      <c r="P144" s="115"/>
      <c r="Q144" s="115"/>
      <c r="R144" s="115"/>
    </row>
    <row r="145" spans="2:18" ht="25" customHeight="1" x14ac:dyDescent="0.35">
      <c r="B145" s="126"/>
      <c r="C145" s="299"/>
      <c r="D145" s="299"/>
      <c r="E145" s="126"/>
      <c r="F145" s="126"/>
      <c r="G145" s="299"/>
      <c r="H145" s="299"/>
      <c r="I145" s="113"/>
      <c r="J145" s="113"/>
      <c r="K145" s="128"/>
      <c r="L145" s="114"/>
      <c r="M145" s="114"/>
      <c r="N145" s="129"/>
      <c r="O145" s="129"/>
      <c r="P145" s="115"/>
      <c r="Q145" s="115"/>
      <c r="R145" s="115"/>
    </row>
    <row r="146" spans="2:18" ht="25" customHeight="1" x14ac:dyDescent="0.35">
      <c r="B146" s="126"/>
      <c r="C146" s="299"/>
      <c r="D146" s="299"/>
      <c r="E146" s="126"/>
      <c r="F146" s="126"/>
      <c r="G146" s="299"/>
      <c r="H146" s="299"/>
      <c r="I146" s="113"/>
      <c r="J146" s="113"/>
      <c r="K146" s="128"/>
      <c r="L146" s="114"/>
      <c r="M146" s="114"/>
      <c r="N146" s="129"/>
      <c r="O146" s="129"/>
      <c r="P146" s="115"/>
      <c r="Q146" s="115"/>
      <c r="R146" s="115"/>
    </row>
    <row r="147" spans="2:18" ht="25" customHeight="1" x14ac:dyDescent="0.35">
      <c r="B147" s="126"/>
      <c r="C147" s="299"/>
      <c r="D147" s="299"/>
      <c r="E147" s="126"/>
      <c r="F147" s="126"/>
      <c r="G147" s="299"/>
      <c r="H147" s="299"/>
      <c r="I147" s="113"/>
      <c r="J147" s="113"/>
      <c r="K147" s="128"/>
      <c r="L147" s="114"/>
      <c r="M147" s="114"/>
      <c r="N147" s="129"/>
      <c r="O147" s="129"/>
      <c r="P147" s="115"/>
      <c r="Q147" s="115"/>
      <c r="R147" s="115"/>
    </row>
    <row r="148" spans="2:18" ht="25" customHeight="1" x14ac:dyDescent="0.35">
      <c r="B148" s="126"/>
      <c r="C148" s="299"/>
      <c r="D148" s="299"/>
      <c r="E148" s="126"/>
      <c r="F148" s="126"/>
      <c r="G148" s="299"/>
      <c r="H148" s="299"/>
      <c r="I148" s="113"/>
      <c r="J148" s="113"/>
      <c r="K148" s="128"/>
      <c r="L148" s="114"/>
      <c r="M148" s="114"/>
      <c r="N148" s="129"/>
      <c r="O148" s="129"/>
      <c r="P148" s="115"/>
      <c r="Q148" s="115"/>
      <c r="R148" s="115"/>
    </row>
    <row r="149" spans="2:18" ht="25" customHeight="1" x14ac:dyDescent="0.35">
      <c r="B149" s="126"/>
      <c r="C149" s="299"/>
      <c r="D149" s="299"/>
      <c r="E149" s="126"/>
      <c r="F149" s="126"/>
      <c r="G149" s="299"/>
      <c r="H149" s="299"/>
      <c r="I149" s="113"/>
      <c r="J149" s="113"/>
      <c r="K149" s="128"/>
      <c r="L149" s="114"/>
      <c r="M149" s="114"/>
      <c r="N149" s="129"/>
      <c r="O149" s="129"/>
      <c r="P149" s="115"/>
      <c r="Q149" s="115"/>
      <c r="R149" s="115"/>
    </row>
    <row r="150" spans="2:18" ht="25" customHeight="1" x14ac:dyDescent="0.35">
      <c r="B150" s="126"/>
      <c r="C150" s="299"/>
      <c r="D150" s="299"/>
      <c r="E150" s="126"/>
      <c r="F150" s="126"/>
      <c r="G150" s="299"/>
      <c r="H150" s="299"/>
      <c r="I150" s="113"/>
      <c r="J150" s="113"/>
      <c r="K150" s="128"/>
      <c r="L150" s="114"/>
      <c r="M150" s="114"/>
      <c r="N150" s="129"/>
      <c r="O150" s="129"/>
      <c r="P150" s="115"/>
      <c r="Q150" s="115"/>
      <c r="R150" s="115"/>
    </row>
    <row r="151" spans="2:18" ht="25" customHeight="1" x14ac:dyDescent="0.35">
      <c r="B151" s="126"/>
      <c r="C151" s="299"/>
      <c r="D151" s="299"/>
      <c r="E151" s="126"/>
      <c r="F151" s="126"/>
      <c r="G151" s="299"/>
      <c r="H151" s="299"/>
      <c r="I151" s="113"/>
      <c r="J151" s="113"/>
      <c r="K151" s="128"/>
      <c r="L151" s="114"/>
      <c r="M151" s="114"/>
      <c r="N151" s="129"/>
      <c r="O151" s="129"/>
      <c r="P151" s="115"/>
      <c r="Q151" s="115"/>
      <c r="R151" s="115"/>
    </row>
    <row r="152" spans="2:18" ht="25" customHeight="1" x14ac:dyDescent="0.35">
      <c r="B152" s="126"/>
      <c r="C152" s="299"/>
      <c r="D152" s="299"/>
      <c r="E152" s="126"/>
      <c r="F152" s="126"/>
      <c r="G152" s="299"/>
      <c r="H152" s="299"/>
      <c r="I152" s="113"/>
      <c r="J152" s="113"/>
      <c r="K152" s="128"/>
      <c r="L152" s="114"/>
      <c r="M152" s="114"/>
      <c r="N152" s="129"/>
      <c r="O152" s="129"/>
      <c r="P152" s="115"/>
      <c r="Q152" s="115"/>
      <c r="R152" s="115"/>
    </row>
    <row r="153" spans="2:18" ht="25" customHeight="1" x14ac:dyDescent="0.35">
      <c r="B153" s="126"/>
      <c r="C153" s="299"/>
      <c r="D153" s="299"/>
      <c r="E153" s="126"/>
      <c r="F153" s="126"/>
      <c r="G153" s="299"/>
      <c r="H153" s="299"/>
      <c r="I153" s="113"/>
      <c r="J153" s="113"/>
      <c r="K153" s="128"/>
      <c r="L153" s="114"/>
      <c r="M153" s="114"/>
      <c r="N153" s="129"/>
      <c r="O153" s="129"/>
      <c r="P153" s="115"/>
      <c r="Q153" s="115"/>
      <c r="R153" s="115"/>
    </row>
    <row r="154" spans="2:18" ht="25" customHeight="1" x14ac:dyDescent="0.35">
      <c r="B154" s="126"/>
      <c r="C154" s="299"/>
      <c r="D154" s="299"/>
      <c r="E154" s="126"/>
      <c r="F154" s="126"/>
      <c r="G154" s="299"/>
      <c r="H154" s="299"/>
      <c r="I154" s="113"/>
      <c r="J154" s="113"/>
      <c r="K154" s="128"/>
      <c r="L154" s="114"/>
      <c r="M154" s="114"/>
      <c r="N154" s="129"/>
      <c r="O154" s="129"/>
      <c r="P154" s="115"/>
      <c r="Q154" s="115"/>
      <c r="R154" s="115"/>
    </row>
    <row r="155" spans="2:18" ht="25" customHeight="1" x14ac:dyDescent="0.35">
      <c r="B155" s="126"/>
      <c r="C155" s="299"/>
      <c r="D155" s="299"/>
      <c r="E155" s="126"/>
      <c r="F155" s="126"/>
      <c r="G155" s="299"/>
      <c r="H155" s="299"/>
      <c r="I155" s="113"/>
      <c r="J155" s="113"/>
      <c r="K155" s="128"/>
      <c r="L155" s="114"/>
      <c r="M155" s="114"/>
      <c r="N155" s="129"/>
      <c r="O155" s="129"/>
      <c r="P155" s="115"/>
      <c r="Q155" s="115"/>
      <c r="R155" s="115"/>
    </row>
    <row r="156" spans="2:18" ht="25" customHeight="1" x14ac:dyDescent="0.35">
      <c r="B156" s="126"/>
      <c r="C156" s="299"/>
      <c r="D156" s="299"/>
      <c r="E156" s="126"/>
      <c r="F156" s="126"/>
      <c r="G156" s="299"/>
      <c r="H156" s="299"/>
      <c r="I156" s="113"/>
      <c r="J156" s="113"/>
      <c r="K156" s="128"/>
      <c r="L156" s="114"/>
      <c r="M156" s="114"/>
      <c r="N156" s="129"/>
      <c r="O156" s="129"/>
      <c r="P156" s="115"/>
      <c r="Q156" s="115"/>
      <c r="R156" s="115"/>
    </row>
    <row r="157" spans="2:18" ht="25" customHeight="1" x14ac:dyDescent="0.35">
      <c r="B157" s="126"/>
      <c r="C157" s="299"/>
      <c r="D157" s="299"/>
      <c r="E157" s="126"/>
      <c r="F157" s="126"/>
      <c r="G157" s="299"/>
      <c r="H157" s="299"/>
      <c r="I157" s="113"/>
      <c r="J157" s="113"/>
      <c r="K157" s="128"/>
      <c r="L157" s="114"/>
      <c r="M157" s="114"/>
      <c r="N157" s="129"/>
      <c r="O157" s="129"/>
      <c r="P157" s="115"/>
      <c r="Q157" s="115"/>
      <c r="R157" s="115"/>
    </row>
    <row r="158" spans="2:18" ht="25" customHeight="1" x14ac:dyDescent="0.35">
      <c r="B158" s="126"/>
      <c r="C158" s="299"/>
      <c r="D158" s="299"/>
      <c r="E158" s="126"/>
      <c r="F158" s="126"/>
      <c r="G158" s="299"/>
      <c r="H158" s="299"/>
      <c r="I158" s="113"/>
      <c r="J158" s="113"/>
      <c r="K158" s="128"/>
      <c r="L158" s="114"/>
      <c r="M158" s="114"/>
      <c r="N158" s="129"/>
      <c r="O158" s="129"/>
      <c r="P158" s="115"/>
      <c r="Q158" s="115"/>
      <c r="R158" s="115"/>
    </row>
    <row r="159" spans="2:18" ht="25" customHeight="1" x14ac:dyDescent="0.35">
      <c r="B159" s="126"/>
      <c r="C159" s="299"/>
      <c r="D159" s="299"/>
      <c r="E159" s="126"/>
      <c r="F159" s="126"/>
      <c r="G159" s="299"/>
      <c r="H159" s="299"/>
      <c r="I159" s="113"/>
      <c r="J159" s="113"/>
      <c r="K159" s="128"/>
      <c r="L159" s="114"/>
      <c r="M159" s="114"/>
      <c r="N159" s="129"/>
      <c r="O159" s="129"/>
      <c r="P159" s="115"/>
      <c r="Q159" s="115"/>
      <c r="R159" s="115"/>
    </row>
    <row r="160" spans="2:18" ht="25" customHeight="1" x14ac:dyDescent="0.35">
      <c r="B160" s="126"/>
      <c r="C160" s="299"/>
      <c r="D160" s="299"/>
      <c r="E160" s="126"/>
      <c r="F160" s="126"/>
      <c r="G160" s="299"/>
      <c r="H160" s="299"/>
      <c r="I160" s="113"/>
      <c r="J160" s="113"/>
      <c r="K160" s="128"/>
      <c r="L160" s="114"/>
      <c r="M160" s="114"/>
      <c r="N160" s="129"/>
      <c r="O160" s="129"/>
      <c r="P160" s="115"/>
      <c r="Q160" s="115"/>
      <c r="R160" s="115"/>
    </row>
    <row r="161" spans="2:18" ht="25" customHeight="1" x14ac:dyDescent="0.35">
      <c r="B161" s="126"/>
      <c r="C161" s="299"/>
      <c r="D161" s="299"/>
      <c r="E161" s="126"/>
      <c r="F161" s="126"/>
      <c r="G161" s="299"/>
      <c r="H161" s="299"/>
      <c r="I161" s="113"/>
      <c r="J161" s="113"/>
      <c r="K161" s="128"/>
      <c r="L161" s="114"/>
      <c r="M161" s="114"/>
      <c r="N161" s="129"/>
      <c r="O161" s="129"/>
      <c r="P161" s="115"/>
      <c r="Q161" s="115"/>
      <c r="R161" s="115"/>
    </row>
    <row r="162" spans="2:18" ht="25" customHeight="1" x14ac:dyDescent="0.35">
      <c r="B162" s="126"/>
      <c r="C162" s="299"/>
      <c r="D162" s="299"/>
      <c r="E162" s="126"/>
      <c r="F162" s="126"/>
      <c r="G162" s="299"/>
      <c r="H162" s="299"/>
      <c r="I162" s="113"/>
      <c r="J162" s="113"/>
      <c r="K162" s="128"/>
      <c r="L162" s="114"/>
      <c r="M162" s="114"/>
      <c r="N162" s="129"/>
      <c r="O162" s="129"/>
      <c r="P162" s="115"/>
      <c r="Q162" s="115"/>
      <c r="R162" s="115"/>
    </row>
    <row r="163" spans="2:18" ht="25" customHeight="1" x14ac:dyDescent="0.35">
      <c r="B163" s="126"/>
      <c r="C163" s="299"/>
      <c r="D163" s="299"/>
      <c r="E163" s="126"/>
      <c r="F163" s="126"/>
      <c r="G163" s="299"/>
      <c r="H163" s="299"/>
      <c r="I163" s="113"/>
      <c r="J163" s="113"/>
      <c r="K163" s="128"/>
      <c r="L163" s="114"/>
      <c r="M163" s="114"/>
      <c r="N163" s="129"/>
      <c r="O163" s="129"/>
      <c r="P163" s="115"/>
      <c r="Q163" s="115"/>
      <c r="R163" s="115"/>
    </row>
    <row r="164" spans="2:18" ht="25" customHeight="1" x14ac:dyDescent="0.35">
      <c r="B164" s="126"/>
      <c r="C164" s="299"/>
      <c r="D164" s="299"/>
      <c r="E164" s="126"/>
      <c r="F164" s="126"/>
      <c r="G164" s="299"/>
      <c r="H164" s="299"/>
      <c r="I164" s="113"/>
      <c r="J164" s="113"/>
      <c r="K164" s="128"/>
      <c r="L164" s="114"/>
      <c r="M164" s="114"/>
      <c r="N164" s="129"/>
      <c r="O164" s="129"/>
      <c r="P164" s="115"/>
      <c r="Q164" s="115"/>
      <c r="R164" s="115"/>
    </row>
    <row r="165" spans="2:18" ht="25" customHeight="1" x14ac:dyDescent="0.35">
      <c r="B165" s="126"/>
      <c r="C165" s="299"/>
      <c r="D165" s="299"/>
      <c r="E165" s="126"/>
      <c r="F165" s="126"/>
      <c r="G165" s="299"/>
      <c r="H165" s="299"/>
      <c r="I165" s="113"/>
      <c r="J165" s="113"/>
      <c r="K165" s="128"/>
      <c r="L165" s="114"/>
      <c r="M165" s="114"/>
      <c r="N165" s="129"/>
      <c r="O165" s="129"/>
      <c r="P165" s="115"/>
      <c r="Q165" s="115"/>
      <c r="R165" s="115"/>
    </row>
    <row r="166" spans="2:18" ht="25" customHeight="1" x14ac:dyDescent="0.35">
      <c r="B166" s="126"/>
      <c r="C166" s="299"/>
      <c r="D166" s="299"/>
      <c r="E166" s="126"/>
      <c r="F166" s="126"/>
      <c r="G166" s="299"/>
      <c r="H166" s="299"/>
      <c r="I166" s="113"/>
      <c r="J166" s="113"/>
      <c r="K166" s="128"/>
      <c r="L166" s="114"/>
      <c r="M166" s="114"/>
      <c r="N166" s="129"/>
      <c r="O166" s="129"/>
      <c r="P166" s="115"/>
      <c r="Q166" s="115"/>
      <c r="R166" s="115"/>
    </row>
    <row r="167" spans="2:18" ht="25" customHeight="1" x14ac:dyDescent="0.35">
      <c r="B167" s="126"/>
      <c r="C167" s="299"/>
      <c r="D167" s="299"/>
      <c r="E167" s="126"/>
      <c r="F167" s="126"/>
      <c r="G167" s="299"/>
      <c r="H167" s="299"/>
      <c r="I167" s="113"/>
      <c r="J167" s="113"/>
      <c r="K167" s="128"/>
      <c r="L167" s="114"/>
      <c r="M167" s="114"/>
      <c r="N167" s="129"/>
      <c r="O167" s="129"/>
      <c r="P167" s="115"/>
      <c r="Q167" s="115"/>
      <c r="R167" s="115"/>
    </row>
    <row r="168" spans="2:18" ht="25" customHeight="1" x14ac:dyDescent="0.35">
      <c r="B168" s="126"/>
      <c r="C168" s="299"/>
      <c r="D168" s="299"/>
      <c r="E168" s="126"/>
      <c r="F168" s="126"/>
      <c r="G168" s="299"/>
      <c r="H168" s="299"/>
      <c r="I168" s="113"/>
      <c r="J168" s="113"/>
      <c r="K168" s="128"/>
      <c r="L168" s="114"/>
      <c r="M168" s="114"/>
      <c r="N168" s="129"/>
      <c r="O168" s="129"/>
      <c r="P168" s="115"/>
      <c r="Q168" s="115"/>
      <c r="R168" s="115"/>
    </row>
    <row r="169" spans="2:18" ht="25" customHeight="1" x14ac:dyDescent="0.35">
      <c r="B169" s="126"/>
      <c r="C169" s="299"/>
      <c r="D169" s="299"/>
      <c r="E169" s="126"/>
      <c r="F169" s="126"/>
      <c r="G169" s="299"/>
      <c r="H169" s="299"/>
      <c r="I169" s="113"/>
      <c r="J169" s="113"/>
      <c r="K169" s="128"/>
      <c r="L169" s="114"/>
      <c r="M169" s="114"/>
      <c r="N169" s="129"/>
      <c r="O169" s="129"/>
      <c r="P169" s="115"/>
      <c r="Q169" s="115"/>
      <c r="R169" s="115"/>
    </row>
    <row r="170" spans="2:18" ht="25" customHeight="1" x14ac:dyDescent="0.35">
      <c r="B170" s="126"/>
      <c r="C170" s="299"/>
      <c r="D170" s="299"/>
      <c r="E170" s="126"/>
      <c r="F170" s="126"/>
      <c r="G170" s="299"/>
      <c r="H170" s="299"/>
      <c r="I170" s="113"/>
      <c r="J170" s="113"/>
      <c r="K170" s="128"/>
      <c r="L170" s="114"/>
      <c r="M170" s="114"/>
      <c r="N170" s="129"/>
      <c r="O170" s="129"/>
      <c r="P170" s="115"/>
      <c r="Q170" s="115"/>
      <c r="R170" s="115"/>
    </row>
    <row r="171" spans="2:18" ht="25" customHeight="1" x14ac:dyDescent="0.35">
      <c r="B171" s="126"/>
      <c r="C171" s="299"/>
      <c r="D171" s="299"/>
      <c r="E171" s="126"/>
      <c r="F171" s="126"/>
      <c r="G171" s="299"/>
      <c r="H171" s="299"/>
      <c r="I171" s="113"/>
      <c r="J171" s="113"/>
      <c r="K171" s="128"/>
      <c r="L171" s="114"/>
      <c r="M171" s="114"/>
      <c r="N171" s="129"/>
      <c r="O171" s="129"/>
      <c r="P171" s="115"/>
      <c r="Q171" s="115"/>
      <c r="R171" s="115"/>
    </row>
    <row r="172" spans="2:18" ht="25" customHeight="1" x14ac:dyDescent="0.35">
      <c r="B172" s="126"/>
      <c r="C172" s="299"/>
      <c r="D172" s="299"/>
      <c r="E172" s="126"/>
      <c r="F172" s="126"/>
      <c r="G172" s="299"/>
      <c r="H172" s="299"/>
      <c r="I172" s="113"/>
      <c r="J172" s="113"/>
      <c r="K172" s="128"/>
      <c r="L172" s="114"/>
      <c r="M172" s="114"/>
      <c r="N172" s="129"/>
      <c r="O172" s="129"/>
      <c r="P172" s="115"/>
      <c r="Q172" s="115"/>
      <c r="R172" s="115"/>
    </row>
    <row r="173" spans="2:18" ht="25" customHeight="1" x14ac:dyDescent="0.35">
      <c r="B173" s="126"/>
      <c r="C173" s="299"/>
      <c r="D173" s="299"/>
      <c r="E173" s="126"/>
      <c r="F173" s="126"/>
      <c r="G173" s="299"/>
      <c r="H173" s="299"/>
      <c r="I173" s="113"/>
      <c r="J173" s="113"/>
      <c r="K173" s="128"/>
      <c r="L173" s="114"/>
      <c r="M173" s="114"/>
      <c r="N173" s="129"/>
      <c r="O173" s="129"/>
      <c r="P173" s="115"/>
      <c r="Q173" s="115"/>
      <c r="R173" s="115"/>
    </row>
    <row r="174" spans="2:18" ht="25" customHeight="1" x14ac:dyDescent="0.35">
      <c r="B174" s="126"/>
      <c r="C174" s="299"/>
      <c r="D174" s="299"/>
      <c r="E174" s="126"/>
      <c r="F174" s="126"/>
      <c r="G174" s="299"/>
      <c r="H174" s="299"/>
      <c r="I174" s="113"/>
      <c r="J174" s="113"/>
      <c r="K174" s="128"/>
      <c r="L174" s="114"/>
      <c r="M174" s="114"/>
      <c r="N174" s="129"/>
      <c r="O174" s="129"/>
      <c r="P174" s="115"/>
      <c r="Q174" s="115"/>
      <c r="R174" s="115"/>
    </row>
    <row r="175" spans="2:18" ht="25" customHeight="1" x14ac:dyDescent="0.35">
      <c r="B175" s="126"/>
      <c r="C175" s="299"/>
      <c r="D175" s="299"/>
      <c r="E175" s="126"/>
      <c r="F175" s="126"/>
      <c r="G175" s="299"/>
      <c r="H175" s="299"/>
      <c r="I175" s="113"/>
      <c r="J175" s="113"/>
      <c r="K175" s="128"/>
      <c r="L175" s="114"/>
      <c r="M175" s="114"/>
      <c r="N175" s="129"/>
      <c r="O175" s="129"/>
      <c r="P175" s="115"/>
      <c r="Q175" s="115"/>
      <c r="R175" s="115"/>
    </row>
    <row r="176" spans="2:18" ht="25" customHeight="1" x14ac:dyDescent="0.35">
      <c r="B176" s="126"/>
      <c r="C176" s="299"/>
      <c r="D176" s="299"/>
      <c r="E176" s="126"/>
      <c r="F176" s="126"/>
      <c r="G176" s="299"/>
      <c r="H176" s="299"/>
      <c r="I176" s="113"/>
      <c r="J176" s="113"/>
      <c r="K176" s="128"/>
      <c r="L176" s="114"/>
      <c r="M176" s="114"/>
      <c r="N176" s="129"/>
      <c r="O176" s="129"/>
      <c r="P176" s="115"/>
      <c r="Q176" s="115"/>
      <c r="R176" s="115"/>
    </row>
    <row r="177" spans="2:18" ht="25" customHeight="1" x14ac:dyDescent="0.35">
      <c r="B177" s="126"/>
      <c r="C177" s="299"/>
      <c r="D177" s="299"/>
      <c r="E177" s="126"/>
      <c r="F177" s="126"/>
      <c r="G177" s="299"/>
      <c r="H177" s="299"/>
      <c r="I177" s="113"/>
      <c r="J177" s="113"/>
      <c r="K177" s="128"/>
      <c r="L177" s="114"/>
      <c r="M177" s="114"/>
      <c r="N177" s="129"/>
      <c r="O177" s="129"/>
      <c r="P177" s="115"/>
      <c r="Q177" s="115"/>
      <c r="R177" s="115"/>
    </row>
    <row r="178" spans="2:18" ht="25" customHeight="1" x14ac:dyDescent="0.35">
      <c r="B178" s="126"/>
      <c r="C178" s="299"/>
      <c r="D178" s="299"/>
      <c r="E178" s="126"/>
      <c r="F178" s="126"/>
      <c r="G178" s="299"/>
      <c r="H178" s="299"/>
      <c r="I178" s="113"/>
      <c r="J178" s="113"/>
      <c r="K178" s="128"/>
      <c r="L178" s="114"/>
      <c r="M178" s="114"/>
      <c r="N178" s="129"/>
      <c r="O178" s="129"/>
      <c r="P178" s="115"/>
      <c r="Q178" s="115"/>
      <c r="R178" s="115"/>
    </row>
    <row r="179" spans="2:18" ht="25" customHeight="1" x14ac:dyDescent="0.35">
      <c r="B179" s="126"/>
      <c r="C179" s="299"/>
      <c r="D179" s="299"/>
      <c r="E179" s="126"/>
      <c r="F179" s="126"/>
      <c r="G179" s="299"/>
      <c r="H179" s="299"/>
      <c r="I179" s="113"/>
      <c r="J179" s="113"/>
      <c r="K179" s="128"/>
      <c r="L179" s="114"/>
      <c r="M179" s="114"/>
      <c r="N179" s="129"/>
      <c r="O179" s="129"/>
      <c r="P179" s="115"/>
      <c r="Q179" s="115"/>
      <c r="R179" s="115"/>
    </row>
    <row r="180" spans="2:18" ht="25" customHeight="1" x14ac:dyDescent="0.35">
      <c r="B180" s="126"/>
      <c r="C180" s="299"/>
      <c r="D180" s="299"/>
      <c r="E180" s="126"/>
      <c r="F180" s="126"/>
      <c r="G180" s="299"/>
      <c r="H180" s="299"/>
      <c r="I180" s="113"/>
      <c r="J180" s="113"/>
      <c r="K180" s="128"/>
      <c r="L180" s="114"/>
      <c r="M180" s="114"/>
      <c r="N180" s="129"/>
      <c r="O180" s="129"/>
      <c r="P180" s="115"/>
      <c r="Q180" s="115"/>
      <c r="R180" s="115"/>
    </row>
    <row r="181" spans="2:18" ht="25" customHeight="1" x14ac:dyDescent="0.35">
      <c r="B181" s="126"/>
      <c r="C181" s="299"/>
      <c r="D181" s="299"/>
      <c r="E181" s="126"/>
      <c r="F181" s="126"/>
      <c r="G181" s="299"/>
      <c r="H181" s="299"/>
      <c r="I181" s="113"/>
      <c r="J181" s="113"/>
      <c r="K181" s="128"/>
      <c r="L181" s="114"/>
      <c r="M181" s="114"/>
      <c r="N181" s="129"/>
      <c r="O181" s="129"/>
      <c r="P181" s="115"/>
      <c r="Q181" s="115"/>
      <c r="R181" s="115"/>
    </row>
    <row r="182" spans="2:18" ht="25" customHeight="1" x14ac:dyDescent="0.35">
      <c r="B182" s="126"/>
      <c r="C182" s="299"/>
      <c r="D182" s="299"/>
      <c r="E182" s="126"/>
      <c r="F182" s="126"/>
      <c r="G182" s="299"/>
      <c r="H182" s="299"/>
      <c r="I182" s="113"/>
      <c r="J182" s="113"/>
      <c r="K182" s="128"/>
      <c r="L182" s="114"/>
      <c r="M182" s="114"/>
      <c r="N182" s="129"/>
      <c r="O182" s="129"/>
      <c r="P182" s="115"/>
      <c r="Q182" s="115"/>
      <c r="R182" s="115"/>
    </row>
    <row r="183" spans="2:18" ht="25" customHeight="1" x14ac:dyDescent="0.35">
      <c r="B183" s="126"/>
      <c r="C183" s="299"/>
      <c r="D183" s="299"/>
      <c r="E183" s="126"/>
      <c r="F183" s="126"/>
      <c r="G183" s="299"/>
      <c r="H183" s="299"/>
      <c r="I183" s="113"/>
      <c r="J183" s="113"/>
      <c r="K183" s="128"/>
      <c r="L183" s="114"/>
      <c r="M183" s="114"/>
      <c r="N183" s="129"/>
      <c r="O183" s="129"/>
      <c r="P183" s="115"/>
      <c r="Q183" s="115"/>
      <c r="R183" s="115"/>
    </row>
    <row r="184" spans="2:18" ht="25" customHeight="1" x14ac:dyDescent="0.35">
      <c r="B184" s="126"/>
      <c r="C184" s="299"/>
      <c r="D184" s="299"/>
      <c r="E184" s="126"/>
      <c r="F184" s="126"/>
      <c r="G184" s="299"/>
      <c r="H184" s="299"/>
      <c r="I184" s="113"/>
      <c r="J184" s="113"/>
      <c r="K184" s="128"/>
      <c r="L184" s="114"/>
      <c r="M184" s="114"/>
      <c r="N184" s="129"/>
      <c r="O184" s="129"/>
      <c r="P184" s="115"/>
      <c r="Q184" s="115"/>
      <c r="R184" s="115"/>
    </row>
    <row r="185" spans="2:18" ht="25" customHeight="1" x14ac:dyDescent="0.35">
      <c r="B185" s="126"/>
      <c r="C185" s="299"/>
      <c r="D185" s="299"/>
      <c r="E185" s="126"/>
      <c r="F185" s="126"/>
      <c r="G185" s="299"/>
      <c r="H185" s="299"/>
      <c r="I185" s="113"/>
      <c r="J185" s="113"/>
      <c r="K185" s="128"/>
      <c r="L185" s="114"/>
      <c r="M185" s="114"/>
      <c r="N185" s="129"/>
      <c r="O185" s="129"/>
      <c r="P185" s="115"/>
      <c r="Q185" s="115"/>
      <c r="R185" s="115"/>
    </row>
    <row r="186" spans="2:18" ht="25" customHeight="1" x14ac:dyDescent="0.35">
      <c r="B186" s="126"/>
      <c r="C186" s="299"/>
      <c r="D186" s="299"/>
      <c r="E186" s="126"/>
      <c r="F186" s="126"/>
      <c r="G186" s="299"/>
      <c r="H186" s="299"/>
      <c r="I186" s="113"/>
      <c r="J186" s="113"/>
      <c r="K186" s="128"/>
      <c r="L186" s="114"/>
      <c r="M186" s="114"/>
      <c r="N186" s="129"/>
      <c r="O186" s="129"/>
      <c r="P186" s="115"/>
      <c r="Q186" s="115"/>
      <c r="R186" s="115"/>
    </row>
    <row r="187" spans="2:18" ht="25" customHeight="1" x14ac:dyDescent="0.35">
      <c r="B187" s="126"/>
      <c r="C187" s="299"/>
      <c r="D187" s="299"/>
      <c r="E187" s="126"/>
      <c r="F187" s="126"/>
      <c r="G187" s="299"/>
      <c r="H187" s="299"/>
      <c r="I187" s="113"/>
      <c r="J187" s="113"/>
      <c r="K187" s="128"/>
      <c r="L187" s="114"/>
      <c r="M187" s="114"/>
      <c r="N187" s="129"/>
      <c r="O187" s="129"/>
      <c r="P187" s="115"/>
      <c r="Q187" s="115"/>
      <c r="R187" s="115"/>
    </row>
    <row r="188" spans="2:18" ht="25" customHeight="1" x14ac:dyDescent="0.35">
      <c r="B188" s="126"/>
      <c r="C188" s="299"/>
      <c r="D188" s="299"/>
      <c r="E188" s="126"/>
      <c r="F188" s="126"/>
      <c r="G188" s="299"/>
      <c r="H188" s="299"/>
      <c r="I188" s="113"/>
      <c r="J188" s="113"/>
      <c r="K188" s="128"/>
      <c r="L188" s="114"/>
      <c r="M188" s="114"/>
      <c r="N188" s="129"/>
      <c r="O188" s="129"/>
      <c r="P188" s="115"/>
      <c r="Q188" s="115"/>
      <c r="R188" s="115"/>
    </row>
    <row r="189" spans="2:18" ht="25" customHeight="1" x14ac:dyDescent="0.35">
      <c r="B189" s="126"/>
      <c r="C189" s="299"/>
      <c r="D189" s="299"/>
      <c r="E189" s="126"/>
      <c r="F189" s="126"/>
      <c r="G189" s="299"/>
      <c r="H189" s="299"/>
      <c r="I189" s="113"/>
      <c r="J189" s="113"/>
      <c r="K189" s="128"/>
      <c r="L189" s="114"/>
      <c r="M189" s="114"/>
      <c r="N189" s="129"/>
      <c r="O189" s="129"/>
      <c r="P189" s="115"/>
      <c r="Q189" s="115"/>
      <c r="R189" s="115"/>
    </row>
    <row r="190" spans="2:18" ht="25" customHeight="1" x14ac:dyDescent="0.35">
      <c r="B190" s="126"/>
      <c r="C190" s="299"/>
      <c r="D190" s="299"/>
      <c r="E190" s="126"/>
      <c r="F190" s="126"/>
      <c r="G190" s="299"/>
      <c r="H190" s="299"/>
      <c r="I190" s="113"/>
      <c r="J190" s="113"/>
      <c r="K190" s="128"/>
      <c r="L190" s="114"/>
      <c r="M190" s="114"/>
      <c r="N190" s="129"/>
      <c r="O190" s="129"/>
      <c r="P190" s="115"/>
      <c r="Q190" s="115"/>
      <c r="R190" s="115"/>
    </row>
    <row r="191" spans="2:18" ht="25" customHeight="1" x14ac:dyDescent="0.35">
      <c r="B191" s="126"/>
      <c r="C191" s="299"/>
      <c r="D191" s="299"/>
      <c r="E191" s="126"/>
      <c r="F191" s="126"/>
      <c r="G191" s="299"/>
      <c r="H191" s="299"/>
      <c r="I191" s="113"/>
      <c r="J191" s="113"/>
      <c r="K191" s="128"/>
      <c r="L191" s="114"/>
      <c r="M191" s="114"/>
      <c r="N191" s="129"/>
      <c r="O191" s="129"/>
      <c r="P191" s="115"/>
      <c r="Q191" s="115"/>
      <c r="R191" s="115"/>
    </row>
    <row r="192" spans="2:18" ht="25" customHeight="1" x14ac:dyDescent="0.35">
      <c r="B192" s="126"/>
      <c r="C192" s="299"/>
      <c r="D192" s="299"/>
      <c r="E192" s="126"/>
      <c r="F192" s="126"/>
      <c r="G192" s="299"/>
      <c r="H192" s="299"/>
      <c r="I192" s="113"/>
      <c r="J192" s="113"/>
      <c r="K192" s="128"/>
      <c r="L192" s="114"/>
      <c r="M192" s="114"/>
      <c r="N192" s="129"/>
      <c r="O192" s="129"/>
      <c r="P192" s="115"/>
      <c r="Q192" s="115"/>
      <c r="R192" s="115"/>
    </row>
    <row r="193" spans="2:18" ht="25" customHeight="1" x14ac:dyDescent="0.35">
      <c r="B193" s="126"/>
      <c r="C193" s="299"/>
      <c r="D193" s="299"/>
      <c r="E193" s="126"/>
      <c r="F193" s="126"/>
      <c r="G193" s="299"/>
      <c r="H193" s="299"/>
      <c r="I193" s="113"/>
      <c r="J193" s="113"/>
      <c r="K193" s="128"/>
      <c r="L193" s="114"/>
      <c r="M193" s="114"/>
      <c r="N193" s="129"/>
      <c r="O193" s="129"/>
      <c r="P193" s="115"/>
      <c r="Q193" s="115"/>
      <c r="R193" s="115"/>
    </row>
    <row r="194" spans="2:18" ht="25" customHeight="1" x14ac:dyDescent="0.35">
      <c r="B194" s="126"/>
      <c r="C194" s="299"/>
      <c r="D194" s="299"/>
      <c r="E194" s="126"/>
      <c r="F194" s="126"/>
      <c r="G194" s="299"/>
      <c r="H194" s="299"/>
      <c r="I194" s="113"/>
      <c r="J194" s="113"/>
      <c r="K194" s="128"/>
      <c r="L194" s="114"/>
      <c r="M194" s="114"/>
      <c r="N194" s="129"/>
      <c r="O194" s="129"/>
      <c r="P194" s="115"/>
      <c r="Q194" s="115"/>
      <c r="R194" s="115"/>
    </row>
    <row r="195" spans="2:18" ht="25" customHeight="1" x14ac:dyDescent="0.35">
      <c r="B195" s="126"/>
      <c r="C195" s="299"/>
      <c r="D195" s="299"/>
      <c r="E195" s="126"/>
      <c r="F195" s="126"/>
      <c r="G195" s="299"/>
      <c r="H195" s="299"/>
      <c r="I195" s="113"/>
      <c r="J195" s="113"/>
      <c r="K195" s="128"/>
      <c r="L195" s="114"/>
      <c r="M195" s="114"/>
      <c r="N195" s="129"/>
      <c r="O195" s="129"/>
      <c r="P195" s="115"/>
      <c r="Q195" s="115"/>
      <c r="R195" s="115"/>
    </row>
    <row r="196" spans="2:18" ht="25" customHeight="1" x14ac:dyDescent="0.35">
      <c r="B196" s="126"/>
      <c r="C196" s="299"/>
      <c r="D196" s="299"/>
      <c r="E196" s="126"/>
      <c r="F196" s="126"/>
      <c r="G196" s="299"/>
      <c r="H196" s="299"/>
      <c r="I196" s="113"/>
      <c r="J196" s="113"/>
      <c r="K196" s="128"/>
      <c r="L196" s="114"/>
      <c r="M196" s="114"/>
      <c r="N196" s="129"/>
      <c r="O196" s="129"/>
      <c r="P196" s="115"/>
      <c r="Q196" s="115"/>
      <c r="R196" s="115"/>
    </row>
    <row r="197" spans="2:18" ht="25" customHeight="1" x14ac:dyDescent="0.35">
      <c r="B197" s="126"/>
      <c r="C197" s="299"/>
      <c r="D197" s="299"/>
      <c r="E197" s="126"/>
      <c r="F197" s="126"/>
      <c r="G197" s="299"/>
      <c r="H197" s="299"/>
      <c r="I197" s="113"/>
      <c r="J197" s="113"/>
      <c r="K197" s="128"/>
      <c r="L197" s="114"/>
      <c r="M197" s="114"/>
      <c r="N197" s="129"/>
      <c r="O197" s="129"/>
      <c r="P197" s="115"/>
      <c r="Q197" s="115"/>
      <c r="R197" s="115"/>
    </row>
    <row r="198" spans="2:18" ht="25" customHeight="1" x14ac:dyDescent="0.35">
      <c r="B198" s="126"/>
      <c r="C198" s="299"/>
      <c r="D198" s="299"/>
      <c r="E198" s="126"/>
      <c r="F198" s="126"/>
      <c r="G198" s="299"/>
      <c r="H198" s="299"/>
      <c r="I198" s="113"/>
      <c r="J198" s="113"/>
      <c r="K198" s="128"/>
      <c r="L198" s="114"/>
      <c r="M198" s="114"/>
      <c r="N198" s="129"/>
      <c r="O198" s="129"/>
      <c r="P198" s="115"/>
      <c r="Q198" s="115"/>
      <c r="R198" s="115"/>
    </row>
    <row r="199" spans="2:18" ht="25" customHeight="1" x14ac:dyDescent="0.35">
      <c r="B199" s="126"/>
      <c r="C199" s="299"/>
      <c r="D199" s="299"/>
      <c r="E199" s="126"/>
      <c r="F199" s="126"/>
      <c r="G199" s="299"/>
      <c r="H199" s="299"/>
      <c r="I199" s="113"/>
      <c r="J199" s="113"/>
      <c r="K199" s="128"/>
      <c r="L199" s="114"/>
      <c r="M199" s="114"/>
      <c r="N199" s="129"/>
      <c r="O199" s="129"/>
      <c r="P199" s="115"/>
      <c r="Q199" s="115"/>
      <c r="R199" s="115"/>
    </row>
    <row r="200" spans="2:18" ht="25" customHeight="1" x14ac:dyDescent="0.35">
      <c r="B200" s="126"/>
      <c r="C200" s="299"/>
      <c r="D200" s="299"/>
      <c r="E200" s="126"/>
      <c r="F200" s="126"/>
      <c r="G200" s="299"/>
      <c r="H200" s="299"/>
      <c r="I200" s="113"/>
      <c r="J200" s="113"/>
      <c r="K200" s="128"/>
      <c r="L200" s="114"/>
      <c r="M200" s="114"/>
      <c r="N200" s="129"/>
      <c r="O200" s="129"/>
      <c r="P200" s="115"/>
      <c r="Q200" s="115"/>
      <c r="R200" s="115"/>
    </row>
    <row r="201" spans="2:18" ht="25" customHeight="1" x14ac:dyDescent="0.35">
      <c r="B201" s="126"/>
      <c r="C201" s="299"/>
      <c r="D201" s="299"/>
      <c r="E201" s="126"/>
      <c r="F201" s="126"/>
      <c r="G201" s="299"/>
      <c r="H201" s="299"/>
      <c r="I201" s="113"/>
      <c r="J201" s="113"/>
      <c r="K201" s="128"/>
      <c r="L201" s="114"/>
      <c r="M201" s="114"/>
      <c r="N201" s="129"/>
      <c r="O201" s="129"/>
      <c r="P201" s="115"/>
      <c r="Q201" s="115"/>
      <c r="R201" s="115"/>
    </row>
    <row r="202" spans="2:18" ht="25" customHeight="1" x14ac:dyDescent="0.35">
      <c r="B202" s="126"/>
      <c r="C202" s="299"/>
      <c r="D202" s="299"/>
      <c r="E202" s="126"/>
      <c r="F202" s="126"/>
      <c r="G202" s="299"/>
      <c r="H202" s="299"/>
      <c r="I202" s="113"/>
      <c r="J202" s="113"/>
      <c r="K202" s="128"/>
      <c r="L202" s="114"/>
      <c r="M202" s="114"/>
      <c r="N202" s="129"/>
      <c r="O202" s="129"/>
      <c r="P202" s="115"/>
      <c r="Q202" s="115"/>
      <c r="R202" s="115"/>
    </row>
    <row r="203" spans="2:18" ht="25" customHeight="1" x14ac:dyDescent="0.35">
      <c r="B203" s="126"/>
      <c r="C203" s="299"/>
      <c r="D203" s="299"/>
      <c r="E203" s="126"/>
      <c r="F203" s="126"/>
      <c r="G203" s="299"/>
      <c r="H203" s="299"/>
      <c r="I203" s="113"/>
      <c r="J203" s="113"/>
      <c r="K203" s="128"/>
      <c r="L203" s="114"/>
      <c r="M203" s="114"/>
      <c r="N203" s="129"/>
      <c r="O203" s="129"/>
      <c r="P203" s="115"/>
      <c r="Q203" s="115"/>
      <c r="R203" s="115"/>
    </row>
    <row r="204" spans="2:18" ht="25" customHeight="1" x14ac:dyDescent="0.35">
      <c r="B204" s="126"/>
      <c r="C204" s="299"/>
      <c r="D204" s="299"/>
      <c r="E204" s="126"/>
      <c r="F204" s="126"/>
      <c r="G204" s="299"/>
      <c r="H204" s="299"/>
      <c r="I204" s="113"/>
      <c r="J204" s="113"/>
      <c r="K204" s="128"/>
      <c r="L204" s="114"/>
      <c r="M204" s="114"/>
      <c r="N204" s="129"/>
      <c r="O204" s="129"/>
      <c r="P204" s="115"/>
      <c r="Q204" s="115"/>
      <c r="R204" s="115"/>
    </row>
    <row r="205" spans="2:18" ht="25" customHeight="1" x14ac:dyDescent="0.35">
      <c r="B205" s="126"/>
      <c r="C205" s="299"/>
      <c r="D205" s="299"/>
      <c r="E205" s="126"/>
      <c r="F205" s="126"/>
      <c r="G205" s="299"/>
      <c r="H205" s="299"/>
      <c r="I205" s="113"/>
      <c r="J205" s="113"/>
      <c r="K205" s="128"/>
      <c r="L205" s="114"/>
      <c r="M205" s="114"/>
      <c r="N205" s="129"/>
      <c r="O205" s="129"/>
      <c r="P205" s="115"/>
      <c r="Q205" s="115"/>
      <c r="R205" s="115"/>
    </row>
    <row r="206" spans="2:18" ht="25" customHeight="1" x14ac:dyDescent="0.35">
      <c r="B206" s="126"/>
      <c r="C206" s="299"/>
      <c r="D206" s="299"/>
      <c r="E206" s="126"/>
      <c r="F206" s="126"/>
      <c r="G206" s="299"/>
      <c r="H206" s="299"/>
      <c r="I206" s="113"/>
      <c r="J206" s="113"/>
      <c r="K206" s="128"/>
      <c r="L206" s="114"/>
      <c r="M206" s="114"/>
      <c r="N206" s="129"/>
      <c r="O206" s="129"/>
      <c r="P206" s="115"/>
      <c r="Q206" s="115"/>
      <c r="R206" s="115"/>
    </row>
    <row r="207" spans="2:18" ht="25" customHeight="1" x14ac:dyDescent="0.35">
      <c r="B207" s="126"/>
      <c r="C207" s="299"/>
      <c r="D207" s="299"/>
      <c r="E207" s="126"/>
      <c r="F207" s="126"/>
      <c r="G207" s="299"/>
      <c r="H207" s="299"/>
      <c r="I207" s="113"/>
      <c r="J207" s="113"/>
      <c r="K207" s="128"/>
      <c r="L207" s="114"/>
      <c r="M207" s="114"/>
      <c r="N207" s="129"/>
      <c r="O207" s="129"/>
      <c r="P207" s="115"/>
      <c r="Q207" s="115"/>
      <c r="R207" s="115"/>
    </row>
    <row r="208" spans="2:18" ht="25" customHeight="1" x14ac:dyDescent="0.35">
      <c r="B208" s="126"/>
      <c r="C208" s="299"/>
      <c r="D208" s="299"/>
      <c r="E208" s="126"/>
      <c r="F208" s="126"/>
      <c r="G208" s="299"/>
      <c r="H208" s="299"/>
      <c r="I208" s="113"/>
      <c r="J208" s="113"/>
      <c r="K208" s="128"/>
      <c r="L208" s="114"/>
      <c r="M208" s="114"/>
      <c r="N208" s="129"/>
      <c r="O208" s="129"/>
      <c r="P208" s="115"/>
      <c r="Q208" s="115"/>
      <c r="R208" s="115"/>
    </row>
    <row r="209" spans="2:18" ht="25" customHeight="1" x14ac:dyDescent="0.35">
      <c r="B209" s="126"/>
      <c r="C209" s="299"/>
      <c r="D209" s="299"/>
      <c r="E209" s="126"/>
      <c r="F209" s="126"/>
      <c r="G209" s="299"/>
      <c r="H209" s="299"/>
      <c r="I209" s="113"/>
      <c r="J209" s="113"/>
      <c r="K209" s="128"/>
      <c r="L209" s="114"/>
      <c r="M209" s="114"/>
      <c r="N209" s="129"/>
      <c r="O209" s="129"/>
      <c r="P209" s="115"/>
      <c r="Q209" s="115"/>
      <c r="R209" s="115"/>
    </row>
    <row r="210" spans="2:18" ht="25" customHeight="1" x14ac:dyDescent="0.35">
      <c r="B210" s="126"/>
      <c r="C210" s="299"/>
      <c r="D210" s="299"/>
      <c r="E210" s="126"/>
      <c r="F210" s="126"/>
      <c r="G210" s="299"/>
      <c r="H210" s="299"/>
      <c r="I210" s="113"/>
      <c r="J210" s="113"/>
      <c r="K210" s="128"/>
      <c r="L210" s="114"/>
      <c r="M210" s="114"/>
      <c r="N210" s="129"/>
      <c r="O210" s="129"/>
      <c r="P210" s="115"/>
      <c r="Q210" s="115"/>
      <c r="R210" s="115"/>
    </row>
    <row r="211" spans="2:18" ht="25" customHeight="1" x14ac:dyDescent="0.35">
      <c r="B211" s="126"/>
      <c r="C211" s="299"/>
      <c r="D211" s="299"/>
      <c r="E211" s="126"/>
      <c r="F211" s="126"/>
      <c r="G211" s="299"/>
      <c r="H211" s="299"/>
      <c r="I211" s="113"/>
      <c r="J211" s="113"/>
      <c r="K211" s="128"/>
      <c r="L211" s="114"/>
      <c r="M211" s="114"/>
      <c r="N211" s="129"/>
      <c r="O211" s="129"/>
      <c r="P211" s="115"/>
      <c r="Q211" s="115"/>
      <c r="R211" s="115"/>
    </row>
    <row r="212" spans="2:18" ht="25" customHeight="1" x14ac:dyDescent="0.35">
      <c r="B212" s="126"/>
      <c r="C212" s="299"/>
      <c r="D212" s="299"/>
      <c r="E212" s="126"/>
      <c r="F212" s="126"/>
      <c r="G212" s="299"/>
      <c r="H212" s="299"/>
      <c r="I212" s="113"/>
      <c r="J212" s="113"/>
      <c r="K212" s="128"/>
      <c r="L212" s="114"/>
      <c r="M212" s="114"/>
      <c r="N212" s="129"/>
      <c r="O212" s="129"/>
      <c r="P212" s="115"/>
      <c r="Q212" s="115"/>
      <c r="R212" s="115"/>
    </row>
    <row r="213" spans="2:18" ht="25" customHeight="1" x14ac:dyDescent="0.35">
      <c r="B213" s="126"/>
      <c r="C213" s="299"/>
      <c r="D213" s="299"/>
      <c r="E213" s="126"/>
      <c r="F213" s="126"/>
      <c r="G213" s="299"/>
      <c r="H213" s="299"/>
      <c r="I213" s="113"/>
      <c r="J213" s="113"/>
      <c r="K213" s="128"/>
      <c r="L213" s="114"/>
      <c r="M213" s="114"/>
      <c r="N213" s="129"/>
      <c r="O213" s="129"/>
      <c r="P213" s="115"/>
      <c r="Q213" s="115"/>
      <c r="R213" s="115"/>
    </row>
    <row r="214" spans="2:18" ht="25" customHeight="1" x14ac:dyDescent="0.35">
      <c r="B214" s="126"/>
      <c r="C214" s="299"/>
      <c r="D214" s="299"/>
      <c r="E214" s="126"/>
      <c r="F214" s="126"/>
      <c r="G214" s="299"/>
      <c r="H214" s="299"/>
      <c r="I214" s="113"/>
      <c r="J214" s="113"/>
      <c r="K214" s="128"/>
      <c r="L214" s="114"/>
      <c r="M214" s="114"/>
      <c r="N214" s="129"/>
      <c r="O214" s="129"/>
      <c r="P214" s="115"/>
      <c r="Q214" s="115"/>
      <c r="R214" s="115"/>
    </row>
    <row r="215" spans="2:18" ht="25" customHeight="1" x14ac:dyDescent="0.35">
      <c r="B215" s="126"/>
      <c r="C215" s="299"/>
      <c r="D215" s="299"/>
      <c r="E215" s="126"/>
      <c r="F215" s="126"/>
      <c r="G215" s="299"/>
      <c r="H215" s="299"/>
      <c r="I215" s="113"/>
      <c r="J215" s="113"/>
      <c r="K215" s="128"/>
      <c r="L215" s="114"/>
      <c r="M215" s="114"/>
      <c r="N215" s="129"/>
      <c r="O215" s="129"/>
      <c r="P215" s="115"/>
      <c r="Q215" s="115"/>
      <c r="R215" s="115"/>
    </row>
    <row r="216" spans="2:18" ht="25" customHeight="1" x14ac:dyDescent="0.35">
      <c r="B216" s="126"/>
      <c r="C216" s="299"/>
      <c r="D216" s="299"/>
      <c r="E216" s="126"/>
      <c r="F216" s="126"/>
      <c r="G216" s="299"/>
      <c r="H216" s="299"/>
      <c r="I216" s="113"/>
      <c r="J216" s="113"/>
      <c r="K216" s="128"/>
      <c r="L216" s="114"/>
      <c r="M216" s="114"/>
      <c r="N216" s="129"/>
      <c r="O216" s="129"/>
      <c r="P216" s="115"/>
      <c r="Q216" s="115"/>
      <c r="R216" s="115"/>
    </row>
    <row r="217" spans="2:18" ht="25" customHeight="1" x14ac:dyDescent="0.35">
      <c r="B217" s="126"/>
      <c r="C217" s="299"/>
      <c r="D217" s="299"/>
      <c r="E217" s="126"/>
      <c r="F217" s="126"/>
      <c r="G217" s="299"/>
      <c r="H217" s="299"/>
      <c r="I217" s="113"/>
      <c r="J217" s="113"/>
      <c r="K217" s="128"/>
      <c r="L217" s="114"/>
      <c r="M217" s="114"/>
      <c r="N217" s="129"/>
      <c r="O217" s="129"/>
      <c r="P217" s="115"/>
      <c r="Q217" s="115"/>
      <c r="R217" s="115"/>
    </row>
  </sheetData>
  <mergeCells count="4">
    <mergeCell ref="B2:F2"/>
    <mergeCell ref="I2:K2"/>
    <mergeCell ref="L2:O2"/>
    <mergeCell ref="P2:Q2"/>
  </mergeCells>
  <conditionalFormatting sqref="S4:T4">
    <cfRule type="cellIs" dxfId="22" priority="6" operator="between">
      <formula>21</formula>
      <formula>40</formula>
    </cfRule>
  </conditionalFormatting>
  <conditionalFormatting sqref="S5:T51">
    <cfRule type="cellIs" dxfId="21" priority="5" operator="between">
      <formula>21</formula>
      <formula>40</formula>
    </cfRule>
  </conditionalFormatting>
  <conditionalFormatting sqref="Q4:R44">
    <cfRule type="cellIs" dxfId="20" priority="3" operator="equal">
      <formula>2</formula>
    </cfRule>
    <cfRule type="cellIs" dxfId="19" priority="4" operator="equal">
      <formula>1</formula>
    </cfRule>
  </conditionalFormatting>
  <conditionalFormatting sqref="P1:P1048576">
    <cfRule type="cellIs" dxfId="18" priority="1" operator="equal">
      <formula>1</formula>
    </cfRule>
    <cfRule type="cellIs" dxfId="17" priority="2" operator="equal">
      <formula>2</formula>
    </cfRule>
  </conditionalFormatting>
  <pageMargins left="0.7" right="0.7" top="0.75" bottom="0.75" header="0.3" footer="0.3"/>
  <pageSetup orientation="landscape" r:id="rId1"/>
  <headerFooter>
    <oddFooter>&amp;L&amp;1#&amp;"Calibri"&amp;9&amp;K000000INTERNAL. This information is accessible to ADB Management and staff. It may be shared outside ADB with appropriate permission.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400-000000000000}">
          <x14:formula1>
            <xm:f>'Asset Condition Ratings'!$C$2:$C$7</xm:f>
          </x14:formula1>
          <xm:sqref>O202</xm:sqref>
        </x14:dataValidation>
        <x14:dataValidation type="list" allowBlank="1" showInputMessage="1" showErrorMessage="1" xr:uid="{00000000-0002-0000-0400-000001000000}">
          <x14:formula1>
            <xm:f>'Validation Lists'!$B$18:$B$79</xm:f>
          </x14:formula1>
          <xm:sqref>F4:F27 F29:F202</xm:sqref>
        </x14:dataValidation>
        <x14:dataValidation type="list" allowBlank="1" showInputMessage="1" showErrorMessage="1" xr:uid="{00000000-0002-0000-0400-000002000000}">
          <x14:formula1>
            <xm:f>'Validation Lists'!$B$3:$B$16</xm:f>
          </x14:formula1>
          <xm:sqref>E202</xm:sqref>
        </x14:dataValidation>
        <x14:dataValidation type="list" allowBlank="1" showInputMessage="1" showErrorMessage="1" xr:uid="{00000000-0002-0000-0400-000003000000}">
          <x14:formula1>
            <xm:f>'Asset Condition Ratings'!$C$11:$C$16</xm:f>
          </x14:formula1>
          <xm:sqref>M202:N202</xm:sqref>
        </x14:dataValidation>
        <x14:dataValidation type="list" allowBlank="1" showInputMessage="1" showErrorMessage="1" xr:uid="{00000000-0002-0000-0400-000004000000}">
          <x14:formula1>
            <xm:f>'Validation Lists'!$B$161:$B$162</xm:f>
          </x14:formula1>
          <xm:sqref>C4:C27 C29:C201</xm:sqref>
        </x14:dataValidation>
        <x14:dataValidation type="list" allowBlank="1" showInputMessage="1" showErrorMessage="1" xr:uid="{00000000-0002-0000-0400-000005000000}">
          <x14:formula1>
            <xm:f>'Validation Lists'!$B$164:$B$166</xm:f>
          </x14:formula1>
          <xm:sqref>K4:K27 K29:K201</xm:sqref>
        </x14:dataValidation>
        <x14:dataValidation type="list" allowBlank="1" showInputMessage="1" showErrorMessage="1" xr:uid="{00000000-0002-0000-0400-000006000000}">
          <x14:formula1>
            <xm:f>'Validation Lists'!$B$168:$B$170</xm:f>
          </x14:formula1>
          <xm:sqref>L4:L27 L29:L201</xm:sqref>
        </x14:dataValidation>
        <x14:dataValidation type="list" allowBlank="1" showInputMessage="1" showErrorMessage="1" xr:uid="{00000000-0002-0000-0400-000007000000}">
          <x14:formula1>
            <xm:f>'Asset Condition Ratings'!$C$6:$C$10</xm:f>
          </x14:formula1>
          <xm:sqref>M4:O27 M29:O201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AAAF-810F-4BC1-A499-7A106D47C3DA}">
  <dimension ref="B2:X26"/>
  <sheetViews>
    <sheetView topLeftCell="K1" workbookViewId="0">
      <selection activeCell="T1" sqref="T1"/>
    </sheetView>
  </sheetViews>
  <sheetFormatPr defaultColWidth="8.81640625" defaultRowHeight="14.5" x14ac:dyDescent="0.35"/>
  <cols>
    <col min="1" max="1" width="3.6328125" customWidth="1"/>
    <col min="2" max="2" width="20.453125" style="132" customWidth="1"/>
    <col min="3" max="7" width="20.453125" style="133" customWidth="1"/>
    <col min="8" max="9" width="20.453125" style="133" hidden="1" customWidth="1"/>
    <col min="10" max="11" width="20.453125" style="133" customWidth="1"/>
    <col min="12" max="13" width="20.453125" style="133" hidden="1" customWidth="1"/>
    <col min="14" max="18" width="20.453125" style="133" customWidth="1"/>
    <col min="19" max="19" width="16" style="1" customWidth="1"/>
    <col min="20" max="20" width="14.6328125" customWidth="1"/>
  </cols>
  <sheetData>
    <row r="2" spans="2:24" x14ac:dyDescent="0.35">
      <c r="B2" s="475" t="s">
        <v>111</v>
      </c>
      <c r="C2" s="507"/>
      <c r="D2" s="122"/>
      <c r="E2" s="122"/>
      <c r="F2" s="122"/>
      <c r="G2" s="508" t="s">
        <v>110</v>
      </c>
      <c r="H2" s="509"/>
      <c r="I2" s="510"/>
      <c r="J2" s="511" t="s">
        <v>109</v>
      </c>
      <c r="K2" s="512"/>
      <c r="L2" s="512"/>
      <c r="M2" s="512"/>
      <c r="N2" s="513" t="s">
        <v>108</v>
      </c>
      <c r="O2" s="515"/>
      <c r="P2" s="515"/>
      <c r="Q2" s="515"/>
      <c r="R2" s="123"/>
      <c r="T2" s="412">
        <v>0.02</v>
      </c>
    </row>
    <row r="3" spans="2:24" s="53" customFormat="1" ht="42" x14ac:dyDescent="0.35">
      <c r="B3" s="357" t="s">
        <v>20</v>
      </c>
      <c r="C3" s="149" t="s">
        <v>1640</v>
      </c>
      <c r="D3" s="149" t="s">
        <v>121</v>
      </c>
      <c r="E3" s="475" t="s">
        <v>1641</v>
      </c>
      <c r="F3" s="476"/>
      <c r="G3" s="153" t="s">
        <v>11</v>
      </c>
      <c r="H3" s="153" t="s">
        <v>1642</v>
      </c>
      <c r="I3" s="153" t="s">
        <v>1643</v>
      </c>
      <c r="J3" s="151" t="s">
        <v>1644</v>
      </c>
      <c r="K3" s="151" t="s">
        <v>1645</v>
      </c>
      <c r="L3" s="151" t="s">
        <v>1646</v>
      </c>
      <c r="M3" s="151" t="s">
        <v>1647</v>
      </c>
      <c r="N3" s="152" t="s">
        <v>1648</v>
      </c>
      <c r="O3" s="152" t="s">
        <v>1649</v>
      </c>
      <c r="P3" s="152" t="s">
        <v>1650</v>
      </c>
      <c r="Q3" s="152" t="s">
        <v>1651</v>
      </c>
      <c r="R3" s="152" t="s">
        <v>156</v>
      </c>
      <c r="S3" s="423" t="s">
        <v>2690</v>
      </c>
      <c r="T3" s="423" t="s">
        <v>2695</v>
      </c>
    </row>
    <row r="4" spans="2:24" x14ac:dyDescent="0.35">
      <c r="B4" s="124"/>
      <c r="C4" s="125"/>
      <c r="D4" s="125"/>
      <c r="E4" s="125" t="s">
        <v>302</v>
      </c>
      <c r="F4" s="125" t="s">
        <v>303</v>
      </c>
      <c r="G4" s="113"/>
      <c r="H4" s="113"/>
      <c r="I4" s="113"/>
      <c r="J4" s="114"/>
      <c r="K4" s="114"/>
      <c r="L4" s="114"/>
      <c r="M4" s="114"/>
      <c r="N4" s="115"/>
      <c r="O4" s="115"/>
      <c r="P4" s="115"/>
      <c r="Q4" s="115"/>
      <c r="R4" s="115"/>
    </row>
    <row r="5" spans="2:24" s="1" customFormat="1" ht="30" customHeight="1" x14ac:dyDescent="0.35">
      <c r="B5" s="124" t="s">
        <v>1652</v>
      </c>
      <c r="C5" s="126" t="s">
        <v>1653</v>
      </c>
      <c r="D5" s="125" t="s">
        <v>808</v>
      </c>
      <c r="E5" s="127">
        <f>7+20/60+25/3600</f>
        <v>7.3402777777777777</v>
      </c>
      <c r="F5" s="127">
        <f>134+28/60+26/3600</f>
        <v>134.47388888888889</v>
      </c>
      <c r="G5" s="113" t="s">
        <v>380</v>
      </c>
      <c r="H5" s="113">
        <v>2020</v>
      </c>
      <c r="I5" s="128" t="s">
        <v>1979</v>
      </c>
      <c r="J5" s="114">
        <v>12600</v>
      </c>
      <c r="K5" s="129" t="s">
        <v>1654</v>
      </c>
      <c r="L5" s="130">
        <v>480</v>
      </c>
      <c r="M5" s="131">
        <v>2.5</v>
      </c>
      <c r="N5" s="134">
        <v>3</v>
      </c>
      <c r="O5" s="134" t="s">
        <v>311</v>
      </c>
      <c r="P5" s="134">
        <v>3</v>
      </c>
      <c r="Q5" s="134">
        <v>4</v>
      </c>
      <c r="R5" s="134">
        <v>4</v>
      </c>
      <c r="T5"/>
      <c r="U5"/>
      <c r="V5"/>
      <c r="W5"/>
      <c r="X5"/>
    </row>
    <row r="6" spans="2:24" s="1" customFormat="1" ht="30" customHeight="1" x14ac:dyDescent="0.35">
      <c r="B6" s="124" t="s">
        <v>1655</v>
      </c>
      <c r="C6" s="126" t="s">
        <v>1656</v>
      </c>
      <c r="D6" s="125" t="s">
        <v>788</v>
      </c>
      <c r="E6" s="127">
        <f>7+20/60+34/3600</f>
        <v>7.3427777777777772</v>
      </c>
      <c r="F6" s="127">
        <f>134+28/60+22/3600</f>
        <v>134.47277777777779</v>
      </c>
      <c r="G6" s="113" t="s">
        <v>502</v>
      </c>
      <c r="H6" s="113">
        <v>2016</v>
      </c>
      <c r="I6" s="128" t="s">
        <v>1657</v>
      </c>
      <c r="J6" s="114">
        <v>13450</v>
      </c>
      <c r="K6" s="129" t="s">
        <v>1658</v>
      </c>
      <c r="L6" s="130">
        <v>540</v>
      </c>
      <c r="M6" s="131">
        <v>1.8</v>
      </c>
      <c r="N6" s="134">
        <v>2</v>
      </c>
      <c r="O6" s="134">
        <v>4</v>
      </c>
      <c r="P6" s="134">
        <v>1</v>
      </c>
      <c r="Q6" s="134">
        <v>4</v>
      </c>
      <c r="R6" s="134">
        <v>4</v>
      </c>
      <c r="T6"/>
      <c r="U6"/>
      <c r="V6"/>
      <c r="W6"/>
      <c r="X6"/>
    </row>
    <row r="7" spans="2:24" s="1" customFormat="1" ht="30" customHeight="1" x14ac:dyDescent="0.35">
      <c r="B7" s="124" t="s">
        <v>1659</v>
      </c>
      <c r="C7" s="126" t="s">
        <v>1660</v>
      </c>
      <c r="D7" s="125" t="s">
        <v>910</v>
      </c>
      <c r="E7" s="127">
        <f>7+21/60+18/3600</f>
        <v>7.3549999999999995</v>
      </c>
      <c r="F7" s="127">
        <f>134+27/60+33/3600</f>
        <v>134.45916666666665</v>
      </c>
      <c r="G7" s="113" t="s">
        <v>502</v>
      </c>
      <c r="H7" s="113">
        <v>2020</v>
      </c>
      <c r="I7" s="128" t="s">
        <v>1661</v>
      </c>
      <c r="J7" s="114">
        <v>6550</v>
      </c>
      <c r="K7" s="129" t="s">
        <v>1662</v>
      </c>
      <c r="L7" s="130">
        <v>310</v>
      </c>
      <c r="M7" s="131">
        <v>2.5</v>
      </c>
      <c r="N7" s="134">
        <v>4</v>
      </c>
      <c r="O7" s="134" t="s">
        <v>311</v>
      </c>
      <c r="P7" s="134">
        <v>4</v>
      </c>
      <c r="Q7" s="134">
        <v>2</v>
      </c>
      <c r="R7" s="134">
        <v>4</v>
      </c>
      <c r="T7"/>
      <c r="U7"/>
      <c r="V7"/>
      <c r="W7"/>
      <c r="X7"/>
    </row>
    <row r="8" spans="2:24" s="1" customFormat="1" ht="30" customHeight="1" x14ac:dyDescent="0.35">
      <c r="B8" s="124" t="s">
        <v>1663</v>
      </c>
      <c r="C8" s="126" t="s">
        <v>1664</v>
      </c>
      <c r="D8" s="125" t="s">
        <v>910</v>
      </c>
      <c r="E8" s="127">
        <f>7+21/60+21/3600</f>
        <v>7.355833333333333</v>
      </c>
      <c r="F8" s="127">
        <f>134+27/60+33/3600</f>
        <v>134.45916666666665</v>
      </c>
      <c r="G8" s="113" t="s">
        <v>502</v>
      </c>
      <c r="H8" s="113" t="s">
        <v>311</v>
      </c>
      <c r="I8" s="128" t="s">
        <v>311</v>
      </c>
      <c r="J8" s="114">
        <v>650</v>
      </c>
      <c r="K8" s="129" t="s">
        <v>1665</v>
      </c>
      <c r="L8" s="130">
        <v>110</v>
      </c>
      <c r="M8" s="131">
        <v>3</v>
      </c>
      <c r="N8" s="134" t="s">
        <v>311</v>
      </c>
      <c r="O8" s="134">
        <v>4</v>
      </c>
      <c r="P8" s="134">
        <v>4</v>
      </c>
      <c r="Q8" s="134">
        <v>2</v>
      </c>
      <c r="R8" s="134">
        <v>4</v>
      </c>
      <c r="T8"/>
      <c r="U8"/>
      <c r="V8"/>
      <c r="W8"/>
      <c r="X8"/>
    </row>
    <row r="9" spans="2:24" s="1" customFormat="1" ht="30" customHeight="1" x14ac:dyDescent="0.35">
      <c r="B9" s="124" t="s">
        <v>1666</v>
      </c>
      <c r="C9" s="126" t="s">
        <v>1667</v>
      </c>
      <c r="D9" s="125" t="s">
        <v>351</v>
      </c>
      <c r="E9" s="127">
        <f>7+21/60+28/3600</f>
        <v>7.3577777777777778</v>
      </c>
      <c r="F9" s="127">
        <f>134+32/60+28/3600</f>
        <v>134.54111111111112</v>
      </c>
      <c r="G9" s="113" t="s">
        <v>502</v>
      </c>
      <c r="H9" s="113" t="s">
        <v>311</v>
      </c>
      <c r="I9" s="128" t="s">
        <v>311</v>
      </c>
      <c r="J9" s="114">
        <v>1800</v>
      </c>
      <c r="K9" s="129" t="s">
        <v>1668</v>
      </c>
      <c r="L9" s="130">
        <v>186</v>
      </c>
      <c r="M9" s="131">
        <v>3</v>
      </c>
      <c r="N9" s="134" t="s">
        <v>311</v>
      </c>
      <c r="O9" s="134">
        <v>3</v>
      </c>
      <c r="P9" s="134">
        <v>4</v>
      </c>
      <c r="Q9" s="134">
        <v>4</v>
      </c>
      <c r="R9" s="134">
        <v>4</v>
      </c>
      <c r="T9"/>
      <c r="U9"/>
      <c r="V9"/>
      <c r="W9"/>
      <c r="X9"/>
    </row>
    <row r="10" spans="2:24" s="1" customFormat="1" ht="30" customHeight="1" x14ac:dyDescent="0.35">
      <c r="B10" s="124" t="s">
        <v>1669</v>
      </c>
      <c r="C10" s="126" t="s">
        <v>1670</v>
      </c>
      <c r="D10" s="125" t="s">
        <v>739</v>
      </c>
      <c r="E10" s="127">
        <f>7+21/60+38/3600</f>
        <v>7.3605555555555551</v>
      </c>
      <c r="F10" s="127">
        <f>134+32/60+51/3600</f>
        <v>134.54749999999999</v>
      </c>
      <c r="G10" s="113" t="s">
        <v>502</v>
      </c>
      <c r="H10" s="113" t="s">
        <v>311</v>
      </c>
      <c r="I10" s="128" t="s">
        <v>311</v>
      </c>
      <c r="J10" s="114">
        <v>7600</v>
      </c>
      <c r="K10" s="129" t="s">
        <v>1662</v>
      </c>
      <c r="L10" s="130">
        <v>350</v>
      </c>
      <c r="M10" s="131">
        <v>2.5</v>
      </c>
      <c r="N10" s="134">
        <v>2</v>
      </c>
      <c r="O10" s="134" t="s">
        <v>311</v>
      </c>
      <c r="P10" s="134">
        <v>1</v>
      </c>
      <c r="Q10" s="134">
        <v>2</v>
      </c>
      <c r="R10" s="134">
        <v>2</v>
      </c>
      <c r="T10"/>
      <c r="U10"/>
      <c r="V10"/>
      <c r="W10"/>
      <c r="X10"/>
    </row>
    <row r="11" spans="2:24" s="1" customFormat="1" ht="30" customHeight="1" x14ac:dyDescent="0.35">
      <c r="B11" s="124" t="s">
        <v>1671</v>
      </c>
      <c r="C11" s="126" t="s">
        <v>1672</v>
      </c>
      <c r="D11" s="125" t="s">
        <v>273</v>
      </c>
      <c r="E11" s="127">
        <f>7+31.427063/60</f>
        <v>7.5237843833333331</v>
      </c>
      <c r="F11" s="127">
        <f>134+30.114792/60</f>
        <v>134.50191319999999</v>
      </c>
      <c r="G11" s="113"/>
      <c r="H11" s="113" t="s">
        <v>311</v>
      </c>
      <c r="I11" s="128" t="s">
        <v>311</v>
      </c>
      <c r="J11" s="114">
        <v>7500</v>
      </c>
      <c r="K11" s="129" t="s">
        <v>1654</v>
      </c>
      <c r="L11" s="130" t="s">
        <v>92</v>
      </c>
      <c r="M11" s="131" t="s">
        <v>311</v>
      </c>
      <c r="N11" s="134">
        <v>2</v>
      </c>
      <c r="O11" s="134" t="s">
        <v>311</v>
      </c>
      <c r="P11" s="134" t="s">
        <v>92</v>
      </c>
      <c r="Q11" s="134" t="s">
        <v>92</v>
      </c>
      <c r="R11" s="134">
        <v>2</v>
      </c>
      <c r="T11"/>
      <c r="U11"/>
      <c r="V11"/>
      <c r="W11"/>
      <c r="X11"/>
    </row>
    <row r="12" spans="2:24" s="1" customFormat="1" x14ac:dyDescent="0.35">
      <c r="B12" s="124"/>
      <c r="C12" s="126"/>
      <c r="D12" s="125"/>
      <c r="E12" s="127"/>
      <c r="F12" s="127"/>
      <c r="G12" s="113"/>
      <c r="H12" s="113"/>
      <c r="I12" s="113"/>
      <c r="J12" s="114"/>
      <c r="K12" s="114"/>
      <c r="L12" s="114"/>
      <c r="M12" s="131"/>
      <c r="N12" s="115"/>
      <c r="O12" s="115"/>
      <c r="P12" s="115"/>
      <c r="Q12" s="115"/>
      <c r="R12" s="115"/>
      <c r="S12" s="424">
        <v>600000</v>
      </c>
      <c r="T12" s="425">
        <f>T2*S12</f>
        <v>12000</v>
      </c>
      <c r="U12"/>
      <c r="V12"/>
      <c r="W12"/>
      <c r="X12"/>
    </row>
    <row r="13" spans="2:24" s="1" customFormat="1" x14ac:dyDescent="0.35">
      <c r="B13" s="124"/>
      <c r="C13" s="126"/>
      <c r="D13" s="125"/>
      <c r="E13" s="127"/>
      <c r="F13" s="127"/>
      <c r="G13" s="113"/>
      <c r="H13" s="113"/>
      <c r="I13" s="113"/>
      <c r="J13" s="114"/>
      <c r="K13" s="114"/>
      <c r="L13" s="114"/>
      <c r="M13" s="114"/>
      <c r="N13" s="115"/>
      <c r="O13" s="115"/>
      <c r="P13" s="115"/>
      <c r="Q13" s="115"/>
      <c r="R13" s="115"/>
      <c r="T13"/>
      <c r="U13"/>
      <c r="V13"/>
      <c r="W13"/>
      <c r="X13"/>
    </row>
    <row r="14" spans="2:24" s="1" customFormat="1" x14ac:dyDescent="0.35">
      <c r="B14" s="124"/>
      <c r="C14" s="126"/>
      <c r="D14" s="125"/>
      <c r="E14" s="127"/>
      <c r="F14" s="127"/>
      <c r="G14" s="113"/>
      <c r="H14" s="113"/>
      <c r="I14" s="113"/>
      <c r="J14" s="114"/>
      <c r="K14" s="114"/>
      <c r="L14" s="114"/>
      <c r="M14" s="114"/>
      <c r="N14" s="115"/>
      <c r="O14" s="115"/>
      <c r="P14" s="115"/>
      <c r="Q14" s="115"/>
      <c r="R14" s="115"/>
      <c r="T14"/>
      <c r="U14"/>
      <c r="V14"/>
      <c r="W14"/>
      <c r="X14"/>
    </row>
    <row r="15" spans="2:24" s="1" customFormat="1" x14ac:dyDescent="0.35">
      <c r="B15" s="124"/>
      <c r="C15" s="125"/>
      <c r="D15" s="125"/>
      <c r="E15" s="125"/>
      <c r="F15" s="125"/>
      <c r="G15" s="113"/>
      <c r="H15" s="113"/>
      <c r="I15" s="113"/>
      <c r="J15" s="114"/>
      <c r="K15" s="114"/>
      <c r="L15" s="114"/>
      <c r="M15" s="114"/>
      <c r="N15" s="115"/>
      <c r="O15" s="115"/>
      <c r="P15" s="115"/>
      <c r="Q15" s="115"/>
      <c r="R15" s="115"/>
      <c r="T15"/>
      <c r="U15"/>
      <c r="V15"/>
      <c r="W15"/>
      <c r="X15"/>
    </row>
    <row r="16" spans="2:24" s="1" customFormat="1" x14ac:dyDescent="0.35">
      <c r="B16" s="124"/>
      <c r="C16" s="125"/>
      <c r="D16" s="125"/>
      <c r="E16" s="125"/>
      <c r="F16" s="125"/>
      <c r="G16" s="113"/>
      <c r="H16" s="113"/>
      <c r="I16" s="113"/>
      <c r="J16" s="114"/>
      <c r="K16" s="114"/>
      <c r="L16" s="114"/>
      <c r="M16" s="114"/>
      <c r="N16" s="115"/>
      <c r="O16" s="115"/>
      <c r="P16" s="115"/>
      <c r="Q16" s="115"/>
      <c r="R16" s="115"/>
      <c r="T16"/>
      <c r="U16"/>
      <c r="V16"/>
      <c r="W16"/>
      <c r="X16"/>
    </row>
    <row r="17" spans="2:24" s="1" customFormat="1" x14ac:dyDescent="0.35">
      <c r="B17" s="124"/>
      <c r="C17" s="125"/>
      <c r="D17" s="125"/>
      <c r="E17" s="125"/>
      <c r="F17" s="125"/>
      <c r="G17" s="113"/>
      <c r="H17" s="113"/>
      <c r="I17" s="113"/>
      <c r="J17" s="114"/>
      <c r="K17" s="114"/>
      <c r="L17" s="114"/>
      <c r="M17" s="114"/>
      <c r="N17" s="115"/>
      <c r="O17" s="115"/>
      <c r="P17" s="115"/>
      <c r="Q17" s="115"/>
      <c r="R17" s="115"/>
      <c r="T17"/>
      <c r="U17"/>
      <c r="V17"/>
      <c r="W17"/>
      <c r="X17"/>
    </row>
    <row r="18" spans="2:24" s="1" customFormat="1" x14ac:dyDescent="0.35">
      <c r="B18" s="124"/>
      <c r="C18" s="125"/>
      <c r="D18" s="125"/>
      <c r="E18" s="125"/>
      <c r="F18" s="125"/>
      <c r="G18" s="113"/>
      <c r="H18" s="113"/>
      <c r="I18" s="113"/>
      <c r="J18" s="114"/>
      <c r="K18" s="114"/>
      <c r="L18" s="114"/>
      <c r="M18" s="114"/>
      <c r="N18" s="115"/>
      <c r="O18" s="115"/>
      <c r="P18" s="115"/>
      <c r="Q18" s="115"/>
      <c r="R18" s="115"/>
      <c r="T18"/>
      <c r="U18"/>
      <c r="V18"/>
      <c r="W18"/>
      <c r="X18"/>
    </row>
    <row r="19" spans="2:24" s="1" customFormat="1" x14ac:dyDescent="0.35">
      <c r="B19" s="124"/>
      <c r="C19" s="125"/>
      <c r="D19" s="125"/>
      <c r="E19" s="125"/>
      <c r="F19" s="125"/>
      <c r="G19" s="113"/>
      <c r="H19" s="113"/>
      <c r="I19" s="113"/>
      <c r="J19" s="114"/>
      <c r="K19" s="114"/>
      <c r="L19" s="114"/>
      <c r="M19" s="114"/>
      <c r="N19" s="115"/>
      <c r="O19" s="115"/>
      <c r="P19" s="115"/>
      <c r="Q19" s="115"/>
      <c r="R19" s="115"/>
      <c r="T19"/>
      <c r="U19"/>
      <c r="V19"/>
      <c r="W19"/>
      <c r="X19"/>
    </row>
    <row r="20" spans="2:24" s="1" customFormat="1" x14ac:dyDescent="0.35">
      <c r="B20" s="124"/>
      <c r="C20" s="125"/>
      <c r="D20" s="125"/>
      <c r="E20" s="125"/>
      <c r="F20" s="125"/>
      <c r="G20" s="113"/>
      <c r="H20" s="113"/>
      <c r="I20" s="113"/>
      <c r="J20" s="114"/>
      <c r="K20" s="114"/>
      <c r="L20" s="114"/>
      <c r="M20" s="114"/>
      <c r="N20" s="115"/>
      <c r="O20" s="115"/>
      <c r="P20" s="115"/>
      <c r="Q20" s="115"/>
      <c r="R20" s="115"/>
      <c r="T20"/>
      <c r="U20"/>
      <c r="V20"/>
      <c r="W20"/>
      <c r="X20"/>
    </row>
    <row r="21" spans="2:24" s="1" customFormat="1" x14ac:dyDescent="0.35">
      <c r="B21" s="124"/>
      <c r="C21" s="125"/>
      <c r="D21" s="125"/>
      <c r="E21" s="125"/>
      <c r="F21" s="125"/>
      <c r="G21" s="113"/>
      <c r="H21" s="113"/>
      <c r="I21" s="113"/>
      <c r="J21" s="114"/>
      <c r="K21" s="114"/>
      <c r="L21" s="114"/>
      <c r="M21" s="114"/>
      <c r="N21" s="115"/>
      <c r="O21" s="115"/>
      <c r="P21" s="115"/>
      <c r="Q21" s="115"/>
      <c r="R21" s="115"/>
      <c r="T21"/>
      <c r="U21"/>
      <c r="V21"/>
      <c r="W21"/>
      <c r="X21"/>
    </row>
    <row r="22" spans="2:24" s="1" customFormat="1" x14ac:dyDescent="0.35">
      <c r="B22" s="124"/>
      <c r="C22" s="125"/>
      <c r="D22" s="125"/>
      <c r="E22" s="125"/>
      <c r="F22" s="125"/>
      <c r="G22" s="113"/>
      <c r="H22" s="113"/>
      <c r="I22" s="113"/>
      <c r="J22" s="114"/>
      <c r="K22" s="114"/>
      <c r="L22" s="114"/>
      <c r="M22" s="114"/>
      <c r="N22" s="115"/>
      <c r="O22" s="115"/>
      <c r="P22" s="115"/>
      <c r="Q22" s="115"/>
      <c r="R22" s="115"/>
      <c r="T22"/>
      <c r="U22"/>
      <c r="V22"/>
      <c r="W22"/>
      <c r="X22"/>
    </row>
    <row r="23" spans="2:24" s="1" customFormat="1" x14ac:dyDescent="0.35">
      <c r="B23" s="124"/>
      <c r="C23" s="125"/>
      <c r="D23" s="125"/>
      <c r="E23" s="125"/>
      <c r="F23" s="125"/>
      <c r="G23" s="113"/>
      <c r="H23" s="113"/>
      <c r="I23" s="113"/>
      <c r="J23" s="114"/>
      <c r="K23" s="114"/>
      <c r="L23" s="114"/>
      <c r="M23" s="114"/>
      <c r="N23" s="115"/>
      <c r="O23" s="115"/>
      <c r="P23" s="115"/>
      <c r="Q23" s="115"/>
      <c r="R23" s="115"/>
      <c r="T23"/>
      <c r="U23"/>
      <c r="V23"/>
      <c r="W23"/>
      <c r="X23"/>
    </row>
    <row r="24" spans="2:24" s="1" customFormat="1" x14ac:dyDescent="0.35">
      <c r="B24" s="124"/>
      <c r="C24" s="125"/>
      <c r="D24" s="125"/>
      <c r="E24" s="125"/>
      <c r="F24" s="125"/>
      <c r="G24" s="113"/>
      <c r="H24" s="113"/>
      <c r="I24" s="113"/>
      <c r="J24" s="114"/>
      <c r="K24" s="114"/>
      <c r="L24" s="114"/>
      <c r="M24" s="114"/>
      <c r="N24" s="115"/>
      <c r="O24" s="115"/>
      <c r="P24" s="115"/>
      <c r="Q24" s="115"/>
      <c r="R24" s="115"/>
      <c r="T24"/>
      <c r="U24"/>
      <c r="V24"/>
      <c r="W24"/>
      <c r="X24"/>
    </row>
    <row r="25" spans="2:24" s="1" customFormat="1" x14ac:dyDescent="0.35">
      <c r="B25" s="124"/>
      <c r="C25" s="125"/>
      <c r="D25" s="125"/>
      <c r="E25" s="125"/>
      <c r="F25" s="125"/>
      <c r="G25" s="113"/>
      <c r="H25" s="113"/>
      <c r="I25" s="113"/>
      <c r="J25" s="114"/>
      <c r="K25" s="114"/>
      <c r="L25" s="114"/>
      <c r="M25" s="114"/>
      <c r="N25" s="115"/>
      <c r="O25" s="115"/>
      <c r="P25" s="115"/>
      <c r="Q25" s="115"/>
      <c r="R25" s="115"/>
      <c r="T25"/>
      <c r="U25"/>
      <c r="V25"/>
      <c r="W25"/>
      <c r="X25"/>
    </row>
    <row r="26" spans="2:24" s="1" customFormat="1" x14ac:dyDescent="0.35">
      <c r="B26" s="124"/>
      <c r="C26" s="125"/>
      <c r="D26" s="125"/>
      <c r="E26" s="125"/>
      <c r="F26" s="125"/>
      <c r="G26" s="113"/>
      <c r="H26" s="113"/>
      <c r="I26" s="113"/>
      <c r="J26" s="114"/>
      <c r="K26" s="114"/>
      <c r="L26" s="114"/>
      <c r="M26" s="114"/>
      <c r="N26" s="115"/>
      <c r="O26" s="115"/>
      <c r="P26" s="115"/>
      <c r="Q26" s="115"/>
      <c r="R26" s="115"/>
      <c r="T26"/>
      <c r="U26"/>
      <c r="V26"/>
      <c r="W26"/>
      <c r="X26"/>
    </row>
  </sheetData>
  <mergeCells count="5">
    <mergeCell ref="B2:C2"/>
    <mergeCell ref="G2:I2"/>
    <mergeCell ref="J2:M2"/>
    <mergeCell ref="N2:Q2"/>
    <mergeCell ref="E3:F3"/>
  </mergeCells>
  <conditionalFormatting sqref="N5:R11">
    <cfRule type="cellIs" dxfId="16" priority="1" operator="equal">
      <formula>2</formula>
    </cfRule>
    <cfRule type="cellIs" dxfId="15" priority="2" operator="equal">
      <formula>1</formula>
    </cfRule>
  </conditionalFormatting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8F91-0D41-40C6-90D9-CC6CED86DD56}">
  <dimension ref="B1:V26"/>
  <sheetViews>
    <sheetView topLeftCell="G1" workbookViewId="0">
      <selection activeCell="R11" sqref="R11"/>
    </sheetView>
  </sheetViews>
  <sheetFormatPr defaultColWidth="8.81640625" defaultRowHeight="14.5" x14ac:dyDescent="0.35"/>
  <cols>
    <col min="1" max="1" width="3.6328125" customWidth="1"/>
    <col min="3" max="3" width="26" style="1" customWidth="1"/>
    <col min="4" max="4" width="21.36328125" style="57" customWidth="1"/>
    <col min="5" max="7" width="18.6328125" style="1" customWidth="1"/>
    <col min="8" max="8" width="18.6328125" style="1" hidden="1" customWidth="1"/>
    <col min="9" max="9" width="24.453125" style="1" hidden="1" customWidth="1"/>
    <col min="10" max="10" width="18.6328125" style="1" customWidth="1"/>
    <col min="11" max="11" width="25.81640625" style="1" customWidth="1"/>
    <col min="12" max="12" width="24" style="1" hidden="1" customWidth="1"/>
    <col min="13" max="13" width="18.6328125" style="1" hidden="1" customWidth="1"/>
    <col min="14" max="15" width="18.6328125" style="1" customWidth="1"/>
    <col min="16" max="16" width="20.453125" style="1" customWidth="1"/>
    <col min="17" max="17" width="18.6328125" style="1" customWidth="1"/>
    <col min="18" max="18" width="17.36328125" customWidth="1"/>
  </cols>
  <sheetData>
    <row r="1" spans="2:22" x14ac:dyDescent="0.35">
      <c r="R1" s="412">
        <v>0.02</v>
      </c>
    </row>
    <row r="2" spans="2:22" s="132" customFormat="1" ht="30" customHeight="1" x14ac:dyDescent="0.35">
      <c r="B2" s="475" t="s">
        <v>111</v>
      </c>
      <c r="C2" s="507"/>
      <c r="D2" s="135"/>
      <c r="E2" s="122"/>
      <c r="F2" s="122"/>
      <c r="G2" s="508" t="s">
        <v>110</v>
      </c>
      <c r="H2" s="509"/>
      <c r="I2" s="510"/>
      <c r="J2" s="511" t="s">
        <v>109</v>
      </c>
      <c r="K2" s="512"/>
      <c r="L2" s="512"/>
      <c r="M2" s="512"/>
      <c r="N2" s="513" t="s">
        <v>108</v>
      </c>
      <c r="O2" s="515"/>
      <c r="P2" s="136"/>
      <c r="Q2" s="133" t="s">
        <v>2690</v>
      </c>
      <c r="R2" s="132" t="s">
        <v>2696</v>
      </c>
    </row>
    <row r="3" spans="2:22" s="132" customFormat="1" ht="30" customHeight="1" x14ac:dyDescent="0.35">
      <c r="B3" s="124" t="s">
        <v>20</v>
      </c>
      <c r="C3" s="125" t="s">
        <v>1640</v>
      </c>
      <c r="D3" s="125" t="s">
        <v>121</v>
      </c>
      <c r="E3" s="516" t="s">
        <v>1641</v>
      </c>
      <c r="F3" s="517"/>
      <c r="G3" s="113" t="s">
        <v>11</v>
      </c>
      <c r="H3" s="113" t="s">
        <v>1642</v>
      </c>
      <c r="I3" s="113" t="s">
        <v>1643</v>
      </c>
      <c r="J3" s="114" t="s">
        <v>1644</v>
      </c>
      <c r="K3" s="114" t="s">
        <v>1645</v>
      </c>
      <c r="L3" s="114" t="s">
        <v>1673</v>
      </c>
      <c r="M3" s="114" t="s">
        <v>1674</v>
      </c>
      <c r="N3" s="115" t="s">
        <v>1673</v>
      </c>
      <c r="O3" s="115" t="s">
        <v>1674</v>
      </c>
      <c r="P3" s="115" t="s">
        <v>156</v>
      </c>
      <c r="Q3" s="133"/>
    </row>
    <row r="4" spans="2:22" s="132" customFormat="1" ht="30" customHeight="1" x14ac:dyDescent="0.35">
      <c r="B4" s="124"/>
      <c r="C4" s="125"/>
      <c r="D4" s="126"/>
      <c r="E4" s="125" t="s">
        <v>302</v>
      </c>
      <c r="F4" s="125" t="s">
        <v>303</v>
      </c>
      <c r="G4" s="113"/>
      <c r="H4" s="113"/>
      <c r="I4" s="113"/>
      <c r="J4" s="114"/>
      <c r="K4" s="114"/>
      <c r="L4" s="114"/>
      <c r="M4" s="114"/>
      <c r="N4" s="115"/>
      <c r="O4" s="115"/>
      <c r="P4" s="115"/>
      <c r="Q4" s="133"/>
    </row>
    <row r="5" spans="2:22" s="133" customFormat="1" ht="30" customHeight="1" x14ac:dyDescent="0.35">
      <c r="B5" s="124" t="s">
        <v>1675</v>
      </c>
      <c r="C5" s="126" t="s">
        <v>1676</v>
      </c>
      <c r="D5" s="126" t="s">
        <v>1677</v>
      </c>
      <c r="E5" s="127">
        <f>7+42/60+12/3600</f>
        <v>7.7033333333333331</v>
      </c>
      <c r="F5" s="127">
        <f>134+38/60+34/3600</f>
        <v>134.64277777777778</v>
      </c>
      <c r="G5" s="113">
        <v>2015</v>
      </c>
      <c r="H5" s="113" t="s">
        <v>311</v>
      </c>
      <c r="I5" s="128" t="s">
        <v>311</v>
      </c>
      <c r="J5" s="114">
        <v>6500</v>
      </c>
      <c r="K5" s="129" t="s">
        <v>1678</v>
      </c>
      <c r="L5" s="137" t="s">
        <v>1679</v>
      </c>
      <c r="M5" s="138" t="s">
        <v>1680</v>
      </c>
      <c r="N5" s="134">
        <v>5</v>
      </c>
      <c r="O5" s="134">
        <v>5</v>
      </c>
      <c r="P5" s="134">
        <v>4</v>
      </c>
      <c r="R5" s="132"/>
      <c r="S5" s="132"/>
      <c r="T5" s="132"/>
      <c r="U5" s="132"/>
      <c r="V5" s="132"/>
    </row>
    <row r="6" spans="2:22" s="133" customFormat="1" ht="30" customHeight="1" x14ac:dyDescent="0.35">
      <c r="B6" s="124" t="s">
        <v>1681</v>
      </c>
      <c r="C6" s="126" t="s">
        <v>1682</v>
      </c>
      <c r="D6" s="126" t="s">
        <v>1223</v>
      </c>
      <c r="E6" s="127">
        <f>7+37/60+35/3600</f>
        <v>7.6263888888888891</v>
      </c>
      <c r="F6" s="127">
        <f>134+38/60+38/3600</f>
        <v>134.64388888888888</v>
      </c>
      <c r="G6" s="113">
        <v>2015</v>
      </c>
      <c r="H6" s="113" t="s">
        <v>311</v>
      </c>
      <c r="I6" s="128" t="s">
        <v>311</v>
      </c>
      <c r="J6" s="114">
        <v>6400</v>
      </c>
      <c r="K6" s="129" t="s">
        <v>1678</v>
      </c>
      <c r="L6" s="137" t="s">
        <v>1679</v>
      </c>
      <c r="M6" s="138" t="s">
        <v>1683</v>
      </c>
      <c r="N6" s="134">
        <v>5</v>
      </c>
      <c r="O6" s="134">
        <v>5</v>
      </c>
      <c r="P6" s="134">
        <v>5</v>
      </c>
      <c r="R6" s="132"/>
      <c r="S6" s="132"/>
      <c r="T6" s="132"/>
      <c r="U6" s="132"/>
      <c r="V6" s="132"/>
    </row>
    <row r="7" spans="2:22" s="133" customFormat="1" ht="30" customHeight="1" x14ac:dyDescent="0.35">
      <c r="B7" s="124" t="s">
        <v>1684</v>
      </c>
      <c r="C7" s="126" t="s">
        <v>1685</v>
      </c>
      <c r="D7" s="126" t="s">
        <v>642</v>
      </c>
      <c r="E7" s="127">
        <f>7+37/60+35/3600</f>
        <v>7.6263888888888891</v>
      </c>
      <c r="F7" s="127">
        <f>134+38/60+38/3600</f>
        <v>134.64388888888888</v>
      </c>
      <c r="G7" s="113">
        <v>2016</v>
      </c>
      <c r="H7" s="113" t="s">
        <v>311</v>
      </c>
      <c r="I7" s="128" t="s">
        <v>311</v>
      </c>
      <c r="J7" s="114">
        <v>7500</v>
      </c>
      <c r="K7" s="129" t="s">
        <v>1678</v>
      </c>
      <c r="L7" s="137" t="s">
        <v>1679</v>
      </c>
      <c r="M7" s="138" t="s">
        <v>1683</v>
      </c>
      <c r="N7" s="134">
        <v>5</v>
      </c>
      <c r="O7" s="134">
        <v>5</v>
      </c>
      <c r="P7" s="134">
        <v>5</v>
      </c>
      <c r="R7" s="132"/>
      <c r="S7" s="132"/>
      <c r="T7" s="132"/>
      <c r="U7" s="132"/>
      <c r="V7" s="132"/>
    </row>
    <row r="8" spans="2:22" s="133" customFormat="1" ht="30" customHeight="1" x14ac:dyDescent="0.35">
      <c r="B8" s="124" t="s">
        <v>1686</v>
      </c>
      <c r="C8" s="126" t="s">
        <v>1687</v>
      </c>
      <c r="D8" s="126" t="s">
        <v>760</v>
      </c>
      <c r="E8" s="127">
        <f>7+21/60+47/3600</f>
        <v>7.3630555555555555</v>
      </c>
      <c r="F8" s="127">
        <f>134+30/60+21/3600</f>
        <v>134.50583333333333</v>
      </c>
      <c r="G8" s="113">
        <v>2015</v>
      </c>
      <c r="H8" s="113" t="s">
        <v>311</v>
      </c>
      <c r="I8" s="128" t="s">
        <v>311</v>
      </c>
      <c r="J8" s="114">
        <v>7200</v>
      </c>
      <c r="K8" s="129" t="s">
        <v>1678</v>
      </c>
      <c r="L8" s="137" t="s">
        <v>1679</v>
      </c>
      <c r="M8" s="138" t="s">
        <v>1688</v>
      </c>
      <c r="N8" s="134">
        <v>4</v>
      </c>
      <c r="O8" s="134">
        <v>5</v>
      </c>
      <c r="P8" s="134">
        <v>5</v>
      </c>
      <c r="R8" s="132"/>
      <c r="S8" s="132"/>
      <c r="T8" s="132"/>
      <c r="U8" s="132"/>
      <c r="V8" s="132"/>
    </row>
    <row r="9" spans="2:22" s="133" customFormat="1" ht="30" customHeight="1" x14ac:dyDescent="0.35">
      <c r="B9" s="124" t="s">
        <v>1689</v>
      </c>
      <c r="C9" s="126" t="s">
        <v>1690</v>
      </c>
      <c r="D9" s="126" t="s">
        <v>1691</v>
      </c>
      <c r="E9" s="127">
        <f>7+21/60+47/3600</f>
        <v>7.3630555555555555</v>
      </c>
      <c r="F9" s="127">
        <f>134+30/60+21/3600</f>
        <v>134.50583333333333</v>
      </c>
      <c r="G9" s="113">
        <v>2014</v>
      </c>
      <c r="H9" s="113" t="s">
        <v>311</v>
      </c>
      <c r="I9" s="128" t="s">
        <v>311</v>
      </c>
      <c r="J9" s="114">
        <v>8100</v>
      </c>
      <c r="K9" s="129" t="s">
        <v>1678</v>
      </c>
      <c r="L9" s="137" t="s">
        <v>1679</v>
      </c>
      <c r="M9" s="138" t="s">
        <v>1688</v>
      </c>
      <c r="N9" s="134">
        <v>4</v>
      </c>
      <c r="O9" s="134">
        <v>5</v>
      </c>
      <c r="P9" s="134">
        <v>5</v>
      </c>
      <c r="R9" s="132"/>
      <c r="S9" s="132"/>
      <c r="T9" s="132"/>
      <c r="U9" s="132"/>
      <c r="V9" s="132"/>
    </row>
    <row r="10" spans="2:22" s="1" customFormat="1" x14ac:dyDescent="0.35">
      <c r="B10" s="17"/>
      <c r="C10" s="56"/>
      <c r="D10" s="56"/>
      <c r="E10" s="68"/>
      <c r="F10" s="68"/>
      <c r="G10" s="19"/>
      <c r="H10" s="19"/>
      <c r="I10" s="61"/>
      <c r="J10" s="22"/>
      <c r="K10" s="62"/>
      <c r="L10" s="67"/>
      <c r="M10" s="66"/>
      <c r="N10" s="24"/>
      <c r="O10" s="24"/>
      <c r="P10" s="24"/>
      <c r="Q10" s="424">
        <v>300000</v>
      </c>
      <c r="R10" s="425">
        <f>R1*Q10</f>
        <v>6000</v>
      </c>
      <c r="S10"/>
      <c r="T10"/>
      <c r="U10"/>
      <c r="V10"/>
    </row>
    <row r="11" spans="2:22" s="1" customFormat="1" x14ac:dyDescent="0.35">
      <c r="B11" s="17"/>
      <c r="C11" s="56"/>
      <c r="D11" s="56"/>
      <c r="E11" s="68"/>
      <c r="F11" s="68"/>
      <c r="G11" s="19"/>
      <c r="H11" s="19"/>
      <c r="I11" s="61"/>
      <c r="J11" s="22"/>
      <c r="K11" s="62"/>
      <c r="L11" s="67"/>
      <c r="M11" s="66"/>
      <c r="N11" s="24"/>
      <c r="O11" s="24"/>
      <c r="P11" s="24"/>
      <c r="R11"/>
      <c r="S11"/>
      <c r="T11"/>
      <c r="U11"/>
      <c r="V11"/>
    </row>
    <row r="12" spans="2:22" s="1" customFormat="1" x14ac:dyDescent="0.35">
      <c r="B12" s="17"/>
      <c r="C12" s="56"/>
      <c r="D12" s="56"/>
      <c r="E12" s="68"/>
      <c r="F12" s="68"/>
      <c r="G12" s="19"/>
      <c r="H12" s="19"/>
      <c r="I12" s="19"/>
      <c r="J12" s="22"/>
      <c r="K12" s="22"/>
      <c r="L12" s="22"/>
      <c r="M12" s="66"/>
      <c r="N12" s="24"/>
      <c r="O12" s="24"/>
      <c r="P12" s="24"/>
      <c r="R12"/>
      <c r="S12"/>
      <c r="T12"/>
      <c r="U12"/>
      <c r="V12"/>
    </row>
    <row r="13" spans="2:22" s="1" customFormat="1" x14ac:dyDescent="0.35">
      <c r="B13" s="17"/>
      <c r="C13" s="56"/>
      <c r="D13" s="56"/>
      <c r="E13" s="68"/>
      <c r="F13" s="68"/>
      <c r="G13" s="19"/>
      <c r="H13" s="19"/>
      <c r="I13" s="19"/>
      <c r="J13" s="22"/>
      <c r="K13" s="22"/>
      <c r="L13" s="22"/>
      <c r="M13" s="22"/>
      <c r="N13" s="24"/>
      <c r="O13" s="24"/>
      <c r="P13" s="24"/>
      <c r="R13"/>
      <c r="S13"/>
      <c r="T13"/>
      <c r="U13"/>
      <c r="V13"/>
    </row>
    <row r="14" spans="2:22" s="1" customFormat="1" x14ac:dyDescent="0.35">
      <c r="B14" s="17"/>
      <c r="C14" s="56"/>
      <c r="D14" s="56"/>
      <c r="E14" s="68"/>
      <c r="F14" s="68"/>
      <c r="G14" s="19"/>
      <c r="H14" s="19"/>
      <c r="I14" s="19"/>
      <c r="J14" s="22"/>
      <c r="K14" s="22"/>
      <c r="L14" s="22"/>
      <c r="M14" s="22"/>
      <c r="N14" s="24"/>
      <c r="O14" s="24"/>
      <c r="P14" s="24"/>
      <c r="R14"/>
      <c r="S14"/>
      <c r="T14"/>
      <c r="U14"/>
      <c r="V14"/>
    </row>
    <row r="15" spans="2:22" s="1" customFormat="1" x14ac:dyDescent="0.35">
      <c r="B15" s="17"/>
      <c r="C15" s="18"/>
      <c r="D15" s="56"/>
      <c r="E15" s="18"/>
      <c r="F15" s="18"/>
      <c r="G15" s="19"/>
      <c r="H15" s="19"/>
      <c r="I15" s="19"/>
      <c r="J15" s="22"/>
      <c r="K15" s="22"/>
      <c r="L15" s="22"/>
      <c r="M15" s="22"/>
      <c r="N15" s="24"/>
      <c r="O15" s="24"/>
      <c r="P15" s="24"/>
      <c r="R15"/>
      <c r="S15"/>
      <c r="T15"/>
      <c r="U15"/>
      <c r="V15"/>
    </row>
    <row r="16" spans="2:22" s="1" customFormat="1" x14ac:dyDescent="0.35">
      <c r="B16" s="17"/>
      <c r="C16" s="18"/>
      <c r="D16" s="56"/>
      <c r="E16" s="18"/>
      <c r="F16" s="18"/>
      <c r="G16" s="19"/>
      <c r="H16" s="19"/>
      <c r="I16" s="19"/>
      <c r="J16" s="22"/>
      <c r="K16" s="22"/>
      <c r="L16" s="22"/>
      <c r="M16" s="22"/>
      <c r="N16" s="24"/>
      <c r="O16" s="24"/>
      <c r="P16" s="24"/>
      <c r="R16"/>
      <c r="S16"/>
      <c r="T16"/>
      <c r="U16"/>
      <c r="V16"/>
    </row>
    <row r="17" spans="2:22" s="1" customFormat="1" x14ac:dyDescent="0.35">
      <c r="B17" s="17"/>
      <c r="C17" s="18"/>
      <c r="D17" s="56"/>
      <c r="E17" s="18"/>
      <c r="F17" s="18"/>
      <c r="G17" s="19"/>
      <c r="H17" s="19"/>
      <c r="I17" s="19"/>
      <c r="J17" s="22"/>
      <c r="K17" s="22"/>
      <c r="L17" s="22"/>
      <c r="M17" s="22"/>
      <c r="N17" s="24"/>
      <c r="O17" s="24"/>
      <c r="P17" s="24"/>
      <c r="R17"/>
      <c r="S17"/>
      <c r="T17"/>
      <c r="U17"/>
      <c r="V17"/>
    </row>
    <row r="18" spans="2:22" s="1" customFormat="1" x14ac:dyDescent="0.35">
      <c r="B18" s="17"/>
      <c r="C18" s="18"/>
      <c r="D18" s="56"/>
      <c r="E18" s="18"/>
      <c r="F18" s="18"/>
      <c r="G18" s="19"/>
      <c r="H18" s="19"/>
      <c r="I18" s="19"/>
      <c r="J18" s="22"/>
      <c r="K18" s="22"/>
      <c r="L18" s="22"/>
      <c r="M18" s="22"/>
      <c r="N18" s="24"/>
      <c r="O18" s="24"/>
      <c r="P18" s="24"/>
      <c r="R18"/>
      <c r="S18"/>
      <c r="T18"/>
      <c r="U18"/>
      <c r="V18"/>
    </row>
    <row r="19" spans="2:22" s="1" customFormat="1" x14ac:dyDescent="0.35">
      <c r="B19" s="17"/>
      <c r="C19" s="18"/>
      <c r="D19" s="56"/>
      <c r="E19" s="18"/>
      <c r="F19" s="18"/>
      <c r="G19" s="19"/>
      <c r="H19" s="19"/>
      <c r="I19" s="19"/>
      <c r="J19" s="22"/>
      <c r="K19" s="22"/>
      <c r="L19" s="22"/>
      <c r="M19" s="22"/>
      <c r="N19" s="24"/>
      <c r="O19" s="24"/>
      <c r="P19" s="24"/>
      <c r="R19"/>
      <c r="S19"/>
      <c r="T19"/>
      <c r="U19"/>
      <c r="V19"/>
    </row>
    <row r="20" spans="2:22" s="1" customFormat="1" x14ac:dyDescent="0.35">
      <c r="B20" s="17"/>
      <c r="C20" s="18"/>
      <c r="D20" s="56"/>
      <c r="E20" s="18"/>
      <c r="F20" s="18"/>
      <c r="G20" s="19"/>
      <c r="H20" s="19"/>
      <c r="I20" s="19"/>
      <c r="J20" s="22"/>
      <c r="K20" s="22"/>
      <c r="L20" s="22"/>
      <c r="M20" s="22"/>
      <c r="N20" s="24"/>
      <c r="O20" s="24"/>
      <c r="P20" s="24"/>
      <c r="R20"/>
      <c r="S20"/>
      <c r="T20"/>
      <c r="U20"/>
      <c r="V20"/>
    </row>
    <row r="21" spans="2:22" s="1" customFormat="1" x14ac:dyDescent="0.35">
      <c r="B21" s="17"/>
      <c r="C21" s="18"/>
      <c r="D21" s="56"/>
      <c r="E21" s="18"/>
      <c r="F21" s="18"/>
      <c r="G21" s="19"/>
      <c r="H21" s="19"/>
      <c r="I21" s="19"/>
      <c r="J21" s="22"/>
      <c r="K21" s="22"/>
      <c r="L21" s="22"/>
      <c r="M21" s="22"/>
      <c r="N21" s="24"/>
      <c r="O21" s="24"/>
      <c r="P21" s="24"/>
      <c r="R21"/>
      <c r="S21"/>
      <c r="T21"/>
      <c r="U21"/>
      <c r="V21"/>
    </row>
    <row r="22" spans="2:22" s="1" customFormat="1" x14ac:dyDescent="0.35">
      <c r="B22" s="17"/>
      <c r="C22" s="18"/>
      <c r="D22" s="56"/>
      <c r="E22" s="18"/>
      <c r="F22" s="18"/>
      <c r="G22" s="19"/>
      <c r="H22" s="19"/>
      <c r="I22" s="19"/>
      <c r="J22" s="22"/>
      <c r="K22" s="22"/>
      <c r="L22" s="22"/>
      <c r="M22" s="22"/>
      <c r="N22" s="24"/>
      <c r="O22" s="24"/>
      <c r="P22" s="24"/>
      <c r="R22"/>
      <c r="S22"/>
      <c r="T22"/>
      <c r="U22"/>
      <c r="V22"/>
    </row>
    <row r="23" spans="2:22" s="1" customFormat="1" x14ac:dyDescent="0.35">
      <c r="B23" s="17"/>
      <c r="C23" s="18"/>
      <c r="D23" s="56"/>
      <c r="E23" s="18"/>
      <c r="F23" s="18"/>
      <c r="G23" s="19"/>
      <c r="H23" s="19"/>
      <c r="I23" s="19"/>
      <c r="J23" s="22"/>
      <c r="K23" s="22"/>
      <c r="L23" s="22"/>
      <c r="M23" s="22"/>
      <c r="N23" s="24"/>
      <c r="O23" s="24"/>
      <c r="P23" s="24"/>
      <c r="R23"/>
      <c r="S23"/>
      <c r="T23"/>
      <c r="U23"/>
      <c r="V23"/>
    </row>
    <row r="24" spans="2:22" s="1" customFormat="1" x14ac:dyDescent="0.35">
      <c r="B24" s="17"/>
      <c r="C24" s="18"/>
      <c r="D24" s="56"/>
      <c r="E24" s="18"/>
      <c r="F24" s="18"/>
      <c r="G24" s="19"/>
      <c r="H24" s="19"/>
      <c r="I24" s="19"/>
      <c r="J24" s="22"/>
      <c r="K24" s="22"/>
      <c r="L24" s="22"/>
      <c r="M24" s="22"/>
      <c r="N24" s="24"/>
      <c r="O24" s="24"/>
      <c r="P24" s="24"/>
      <c r="R24"/>
      <c r="S24"/>
      <c r="T24"/>
      <c r="U24"/>
      <c r="V24"/>
    </row>
    <row r="25" spans="2:22" s="1" customFormat="1" x14ac:dyDescent="0.35">
      <c r="B25" s="17"/>
      <c r="C25" s="18"/>
      <c r="D25" s="56"/>
      <c r="E25" s="18"/>
      <c r="F25" s="18"/>
      <c r="G25" s="19"/>
      <c r="H25" s="19"/>
      <c r="I25" s="19"/>
      <c r="J25" s="22"/>
      <c r="K25" s="22"/>
      <c r="L25" s="22"/>
      <c r="M25" s="22"/>
      <c r="N25" s="24"/>
      <c r="O25" s="24"/>
      <c r="P25" s="24"/>
      <c r="R25"/>
      <c r="S25"/>
      <c r="T25"/>
      <c r="U25"/>
      <c r="V25"/>
    </row>
    <row r="26" spans="2:22" s="1" customFormat="1" x14ac:dyDescent="0.35">
      <c r="B26" s="17"/>
      <c r="C26" s="18"/>
      <c r="D26" s="56"/>
      <c r="E26" s="18"/>
      <c r="F26" s="18"/>
      <c r="G26" s="19"/>
      <c r="H26" s="19"/>
      <c r="I26" s="19"/>
      <c r="J26" s="22"/>
      <c r="K26" s="22"/>
      <c r="L26" s="22"/>
      <c r="M26" s="22"/>
      <c r="N26" s="24"/>
      <c r="O26" s="24"/>
      <c r="P26" s="24"/>
      <c r="R26"/>
      <c r="S26"/>
      <c r="T26"/>
      <c r="U26"/>
      <c r="V26"/>
    </row>
  </sheetData>
  <mergeCells count="5">
    <mergeCell ref="B2:C2"/>
    <mergeCell ref="G2:I2"/>
    <mergeCell ref="J2:M2"/>
    <mergeCell ref="N2:O2"/>
    <mergeCell ref="E3:F3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05"/>
  <sheetViews>
    <sheetView topLeftCell="A14" zoomScale="120" zoomScaleNormal="120" workbookViewId="0">
      <selection activeCell="A20" sqref="A20"/>
    </sheetView>
  </sheetViews>
  <sheetFormatPr defaultColWidth="8.81640625" defaultRowHeight="14" x14ac:dyDescent="0.3"/>
  <cols>
    <col min="1" max="1" width="4.36328125" style="108" customWidth="1"/>
    <col min="2" max="2" width="8.81640625" style="279"/>
    <col min="3" max="3" width="15.6328125" style="279" customWidth="1"/>
    <col min="4" max="4" width="12.6328125" style="109" customWidth="1"/>
    <col min="5" max="6" width="18.6328125" style="109" hidden="1" customWidth="1"/>
    <col min="7" max="7" width="13.81640625" style="109" customWidth="1"/>
    <col min="8" max="9" width="18.6328125" style="109" hidden="1" customWidth="1"/>
    <col min="10" max="10" width="12.453125" style="109" customWidth="1"/>
    <col min="11" max="11" width="10.1796875" style="109" customWidth="1"/>
    <col min="12" max="12" width="9.81640625" style="109" customWidth="1"/>
    <col min="13" max="13" width="18.6328125" style="109" customWidth="1"/>
    <col min="14" max="15" width="20.453125" style="109" customWidth="1"/>
    <col min="16" max="16" width="14.1796875" style="109" customWidth="1"/>
    <col min="17" max="17" width="13.453125" style="108" customWidth="1"/>
    <col min="18" max="16384" width="8.81640625" style="108"/>
  </cols>
  <sheetData>
    <row r="2" spans="2:17" s="132" customFormat="1" ht="30" customHeight="1" x14ac:dyDescent="0.35">
      <c r="B2" s="475" t="s">
        <v>111</v>
      </c>
      <c r="C2" s="507"/>
      <c r="D2" s="476"/>
      <c r="E2" s="267"/>
      <c r="F2" s="267"/>
      <c r="G2" s="508" t="s">
        <v>110</v>
      </c>
      <c r="H2" s="509"/>
      <c r="I2" s="510"/>
      <c r="J2" s="511" t="s">
        <v>109</v>
      </c>
      <c r="K2" s="512"/>
      <c r="L2" s="512"/>
      <c r="M2" s="270" t="s">
        <v>108</v>
      </c>
      <c r="N2" s="123"/>
      <c r="O2" s="429"/>
      <c r="P2" s="133"/>
      <c r="Q2" s="415">
        <v>0.02</v>
      </c>
    </row>
    <row r="3" spans="2:17" s="174" customFormat="1" ht="30" customHeight="1" x14ac:dyDescent="0.35">
      <c r="B3" s="358" t="s">
        <v>20</v>
      </c>
      <c r="C3" s="149" t="s">
        <v>229</v>
      </c>
      <c r="D3" s="149" t="s">
        <v>121</v>
      </c>
      <c r="E3" s="475" t="s">
        <v>317</v>
      </c>
      <c r="F3" s="476"/>
      <c r="G3" s="153" t="s">
        <v>11</v>
      </c>
      <c r="H3" s="153" t="s">
        <v>122</v>
      </c>
      <c r="I3" s="153" t="s">
        <v>211</v>
      </c>
      <c r="J3" s="151" t="s">
        <v>230</v>
      </c>
      <c r="K3" s="151" t="s">
        <v>231</v>
      </c>
      <c r="L3" s="151" t="s">
        <v>232</v>
      </c>
      <c r="M3" s="152" t="s">
        <v>233</v>
      </c>
      <c r="N3" s="152" t="s">
        <v>156</v>
      </c>
      <c r="O3" s="430" t="s">
        <v>2697</v>
      </c>
      <c r="P3" s="173" t="s">
        <v>2690</v>
      </c>
      <c r="Q3" s="173" t="s">
        <v>1971</v>
      </c>
    </row>
    <row r="4" spans="2:17" s="132" customFormat="1" ht="30" customHeight="1" x14ac:dyDescent="0.35">
      <c r="B4" s="126"/>
      <c r="C4" s="126"/>
      <c r="D4" s="299"/>
      <c r="E4" s="299" t="s">
        <v>302</v>
      </c>
      <c r="F4" s="299" t="s">
        <v>303</v>
      </c>
      <c r="G4" s="113"/>
      <c r="H4" s="113"/>
      <c r="I4" s="113"/>
      <c r="J4" s="114"/>
      <c r="K4" s="114"/>
      <c r="L4" s="114"/>
      <c r="M4" s="134"/>
      <c r="N4" s="134"/>
      <c r="O4" s="300"/>
      <c r="P4" s="133"/>
    </row>
    <row r="5" spans="2:17" s="132" customFormat="1" ht="30" customHeight="1" x14ac:dyDescent="0.35">
      <c r="B5" s="126"/>
      <c r="C5" s="126"/>
      <c r="D5" s="299"/>
      <c r="E5" s="299"/>
      <c r="F5" s="299"/>
      <c r="G5" s="113"/>
      <c r="H5" s="113"/>
      <c r="I5" s="113"/>
      <c r="J5" s="114"/>
      <c r="K5" s="114"/>
      <c r="L5" s="114"/>
      <c r="M5" s="134"/>
      <c r="N5" s="134"/>
      <c r="O5" s="300"/>
      <c r="P5" s="133"/>
    </row>
    <row r="6" spans="2:17" s="132" customFormat="1" ht="30" customHeight="1" x14ac:dyDescent="0.35">
      <c r="B6" s="126" t="s">
        <v>1012</v>
      </c>
      <c r="C6" s="126" t="s">
        <v>1292</v>
      </c>
      <c r="D6" s="299" t="s">
        <v>442</v>
      </c>
      <c r="E6" s="140">
        <f>7+43/60+7/3600</f>
        <v>7.7186111111111115</v>
      </c>
      <c r="F6" s="140">
        <f>134+36/60+26/3600</f>
        <v>134.60722222222222</v>
      </c>
      <c r="G6" s="113">
        <v>1989</v>
      </c>
      <c r="H6" s="113" t="s">
        <v>311</v>
      </c>
      <c r="I6" s="113" t="s">
        <v>311</v>
      </c>
      <c r="J6" s="114" t="s">
        <v>1293</v>
      </c>
      <c r="K6" s="114">
        <v>50</v>
      </c>
      <c r="L6" s="114">
        <v>4.5</v>
      </c>
      <c r="M6" s="134">
        <v>4</v>
      </c>
      <c r="N6" s="134">
        <v>5</v>
      </c>
      <c r="O6" s="300">
        <v>250</v>
      </c>
      <c r="P6" s="432">
        <f>M6*M6*K6*O6</f>
        <v>200000</v>
      </c>
      <c r="Q6" s="433">
        <f>Q$2*P6</f>
        <v>4000</v>
      </c>
    </row>
    <row r="7" spans="2:17" s="132" customFormat="1" ht="30" customHeight="1" x14ac:dyDescent="0.35">
      <c r="B7" s="126" t="s">
        <v>1336</v>
      </c>
      <c r="C7" s="126" t="s">
        <v>1335</v>
      </c>
      <c r="D7" s="299" t="s">
        <v>1094</v>
      </c>
      <c r="E7" s="140">
        <f>7+38/60+33/3600</f>
        <v>7.6424999999999992</v>
      </c>
      <c r="F7" s="140">
        <f>134+37/60+53/3600</f>
        <v>134.63138888888889</v>
      </c>
      <c r="G7" s="113">
        <v>1994</v>
      </c>
      <c r="H7" s="113" t="s">
        <v>311</v>
      </c>
      <c r="I7" s="113" t="s">
        <v>311</v>
      </c>
      <c r="J7" s="114" t="s">
        <v>1371</v>
      </c>
      <c r="K7" s="114">
        <v>145</v>
      </c>
      <c r="L7" s="114">
        <v>4.5</v>
      </c>
      <c r="M7" s="134">
        <v>2</v>
      </c>
      <c r="N7" s="134">
        <v>3</v>
      </c>
      <c r="O7" s="300">
        <v>250</v>
      </c>
      <c r="P7" s="432">
        <f t="shared" ref="P7:P23" si="0">M7*M7*K7*O7</f>
        <v>145000</v>
      </c>
      <c r="Q7" s="433">
        <f t="shared" ref="Q7:Q24" si="1">Q$2*P7</f>
        <v>2900</v>
      </c>
    </row>
    <row r="8" spans="2:17" s="132" customFormat="1" ht="30" customHeight="1" x14ac:dyDescent="0.35">
      <c r="B8" s="126" t="s">
        <v>1337</v>
      </c>
      <c r="C8" s="126" t="s">
        <v>1338</v>
      </c>
      <c r="D8" s="299" t="s">
        <v>927</v>
      </c>
      <c r="E8" s="140">
        <f>7+33/60+7/3600</f>
        <v>7.5519444444444446</v>
      </c>
      <c r="F8" s="140">
        <f>134+38/60+13/3600</f>
        <v>134.63694444444442</v>
      </c>
      <c r="G8" s="113">
        <v>1986</v>
      </c>
      <c r="H8" s="113" t="s">
        <v>311</v>
      </c>
      <c r="I8" s="113" t="s">
        <v>311</v>
      </c>
      <c r="J8" s="114" t="s">
        <v>1371</v>
      </c>
      <c r="K8" s="114">
        <v>280</v>
      </c>
      <c r="L8" s="114">
        <v>3</v>
      </c>
      <c r="M8" s="134">
        <v>4</v>
      </c>
      <c r="N8" s="134">
        <v>4</v>
      </c>
      <c r="O8" s="300">
        <v>250</v>
      </c>
      <c r="P8" s="432">
        <f t="shared" si="0"/>
        <v>1120000</v>
      </c>
      <c r="Q8" s="433">
        <f t="shared" si="1"/>
        <v>22400</v>
      </c>
    </row>
    <row r="9" spans="2:17" s="132" customFormat="1" ht="30" customHeight="1" x14ac:dyDescent="0.35">
      <c r="B9" s="126" t="s">
        <v>1339</v>
      </c>
      <c r="C9" s="126" t="s">
        <v>1340</v>
      </c>
      <c r="D9" s="299" t="s">
        <v>927</v>
      </c>
      <c r="E9" s="140">
        <f>7+32/60+40/3600</f>
        <v>7.5444444444444443</v>
      </c>
      <c r="F9" s="140">
        <f>134+37/60+54/3600</f>
        <v>134.63166666666666</v>
      </c>
      <c r="G9" s="113">
        <v>2014</v>
      </c>
      <c r="H9" s="113" t="s">
        <v>311</v>
      </c>
      <c r="I9" s="113" t="s">
        <v>311</v>
      </c>
      <c r="J9" s="114" t="s">
        <v>1371</v>
      </c>
      <c r="K9" s="114">
        <v>90</v>
      </c>
      <c r="L9" s="114">
        <v>3</v>
      </c>
      <c r="M9" s="134">
        <v>5</v>
      </c>
      <c r="N9" s="134">
        <v>5</v>
      </c>
      <c r="O9" s="300">
        <v>250</v>
      </c>
      <c r="P9" s="432">
        <f t="shared" si="0"/>
        <v>562500</v>
      </c>
      <c r="Q9" s="433">
        <f t="shared" si="1"/>
        <v>11250</v>
      </c>
    </row>
    <row r="10" spans="2:17" s="132" customFormat="1" ht="30" customHeight="1" x14ac:dyDescent="0.35">
      <c r="B10" s="126" t="s">
        <v>1341</v>
      </c>
      <c r="C10" s="126" t="s">
        <v>1342</v>
      </c>
      <c r="D10" s="299" t="s">
        <v>576</v>
      </c>
      <c r="E10" s="140">
        <f>7+29/60+27/3600</f>
        <v>7.4908333333333337</v>
      </c>
      <c r="F10" s="140">
        <f>134+38/60+5/3600</f>
        <v>134.63472222222222</v>
      </c>
      <c r="G10" s="113">
        <v>1990</v>
      </c>
      <c r="H10" s="113" t="s">
        <v>311</v>
      </c>
      <c r="I10" s="113" t="s">
        <v>311</v>
      </c>
      <c r="J10" s="114" t="s">
        <v>1371</v>
      </c>
      <c r="K10" s="114">
        <v>500</v>
      </c>
      <c r="L10" s="114">
        <v>2.5</v>
      </c>
      <c r="M10" s="134">
        <v>2</v>
      </c>
      <c r="N10" s="134">
        <v>4</v>
      </c>
      <c r="O10" s="300">
        <v>250</v>
      </c>
      <c r="P10" s="432">
        <f t="shared" si="0"/>
        <v>500000</v>
      </c>
      <c r="Q10" s="433">
        <f t="shared" si="1"/>
        <v>10000</v>
      </c>
    </row>
    <row r="11" spans="2:17" s="132" customFormat="1" ht="30" customHeight="1" x14ac:dyDescent="0.35">
      <c r="B11" s="126" t="s">
        <v>1343</v>
      </c>
      <c r="C11" s="126" t="s">
        <v>1344</v>
      </c>
      <c r="D11" s="299" t="s">
        <v>602</v>
      </c>
      <c r="E11" s="140">
        <f>7+28/60+10/3600</f>
        <v>7.469444444444445</v>
      </c>
      <c r="F11" s="140">
        <f>134+36/60+40/3600</f>
        <v>134.61111111111111</v>
      </c>
      <c r="G11" s="113">
        <v>2008</v>
      </c>
      <c r="H11" s="113" t="s">
        <v>311</v>
      </c>
      <c r="I11" s="113" t="s">
        <v>311</v>
      </c>
      <c r="J11" s="114" t="s">
        <v>1371</v>
      </c>
      <c r="K11" s="114">
        <v>300</v>
      </c>
      <c r="L11" s="114">
        <v>3.6</v>
      </c>
      <c r="M11" s="134">
        <v>4</v>
      </c>
      <c r="N11" s="134">
        <v>5</v>
      </c>
      <c r="O11" s="300">
        <v>250</v>
      </c>
      <c r="P11" s="432">
        <f t="shared" si="0"/>
        <v>1200000</v>
      </c>
      <c r="Q11" s="433">
        <f t="shared" si="1"/>
        <v>24000</v>
      </c>
    </row>
    <row r="12" spans="2:17" s="132" customFormat="1" ht="30" customHeight="1" x14ac:dyDescent="0.35">
      <c r="B12" s="126" t="s">
        <v>1345</v>
      </c>
      <c r="C12" s="126" t="s">
        <v>1346</v>
      </c>
      <c r="D12" s="299" t="s">
        <v>602</v>
      </c>
      <c r="E12" s="140">
        <f>7+26/60+5/3600</f>
        <v>7.4347222222222227</v>
      </c>
      <c r="F12" s="140">
        <f>134+35/60+43/3600</f>
        <v>134.5952777777778</v>
      </c>
      <c r="G12" s="113" t="s">
        <v>502</v>
      </c>
      <c r="H12" s="113">
        <v>2020</v>
      </c>
      <c r="I12" s="113" t="s">
        <v>1377</v>
      </c>
      <c r="J12" s="114" t="s">
        <v>1371</v>
      </c>
      <c r="K12" s="114">
        <v>210</v>
      </c>
      <c r="L12" s="114">
        <v>3</v>
      </c>
      <c r="M12" s="134">
        <v>5</v>
      </c>
      <c r="N12" s="134">
        <v>5</v>
      </c>
      <c r="O12" s="300">
        <v>250</v>
      </c>
      <c r="P12" s="432">
        <f t="shared" si="0"/>
        <v>1312500</v>
      </c>
      <c r="Q12" s="433">
        <f t="shared" si="1"/>
        <v>26250</v>
      </c>
    </row>
    <row r="13" spans="2:17" s="132" customFormat="1" ht="30" customHeight="1" x14ac:dyDescent="0.35">
      <c r="B13" s="126" t="s">
        <v>1692</v>
      </c>
      <c r="C13" s="126" t="s">
        <v>1693</v>
      </c>
      <c r="D13" s="299" t="s">
        <v>1694</v>
      </c>
      <c r="E13" s="140">
        <f>7+24.97664/60</f>
        <v>7.4162773333333334</v>
      </c>
      <c r="F13" s="140">
        <f>134+29.67407/60</f>
        <v>134.49456783333332</v>
      </c>
      <c r="G13" s="113" t="s">
        <v>502</v>
      </c>
      <c r="H13" s="113" t="s">
        <v>311</v>
      </c>
      <c r="I13" s="113" t="s">
        <v>311</v>
      </c>
      <c r="J13" s="114" t="s">
        <v>1371</v>
      </c>
      <c r="K13" s="114">
        <v>193</v>
      </c>
      <c r="L13" s="114">
        <v>5.3</v>
      </c>
      <c r="M13" s="134">
        <v>1</v>
      </c>
      <c r="N13" s="134">
        <v>2</v>
      </c>
      <c r="O13" s="300">
        <v>250</v>
      </c>
      <c r="P13" s="432">
        <f t="shared" si="0"/>
        <v>48250</v>
      </c>
      <c r="Q13" s="433">
        <f t="shared" si="1"/>
        <v>965</v>
      </c>
    </row>
    <row r="14" spans="2:17" s="132" customFormat="1" ht="30" customHeight="1" x14ac:dyDescent="0.35">
      <c r="B14" s="126" t="s">
        <v>1695</v>
      </c>
      <c r="C14" s="126" t="s">
        <v>1696</v>
      </c>
      <c r="D14" s="299" t="s">
        <v>1694</v>
      </c>
      <c r="E14" s="140">
        <f>7+26/60+41/3600</f>
        <v>7.4447222222222225</v>
      </c>
      <c r="F14" s="140">
        <f>134+28/60+39/3600</f>
        <v>134.47749999999999</v>
      </c>
      <c r="G14" s="113" t="s">
        <v>502</v>
      </c>
      <c r="H14" s="113" t="s">
        <v>311</v>
      </c>
      <c r="I14" s="113" t="s">
        <v>311</v>
      </c>
      <c r="J14" s="114" t="s">
        <v>1371</v>
      </c>
      <c r="K14" s="114">
        <v>155</v>
      </c>
      <c r="L14" s="114">
        <v>2</v>
      </c>
      <c r="M14" s="134">
        <v>1</v>
      </c>
      <c r="N14" s="134">
        <v>2</v>
      </c>
      <c r="O14" s="300">
        <v>250</v>
      </c>
      <c r="P14" s="432">
        <f t="shared" si="0"/>
        <v>38750</v>
      </c>
      <c r="Q14" s="433">
        <f t="shared" si="1"/>
        <v>775</v>
      </c>
    </row>
    <row r="15" spans="2:17" s="132" customFormat="1" ht="30" customHeight="1" x14ac:dyDescent="0.35">
      <c r="B15" s="126" t="s">
        <v>1347</v>
      </c>
      <c r="C15" s="126" t="s">
        <v>1697</v>
      </c>
      <c r="D15" s="299" t="s">
        <v>383</v>
      </c>
      <c r="E15" s="140">
        <f>7+21.52156/60</f>
        <v>7.3586926666666663</v>
      </c>
      <c r="F15" s="140">
        <f>134+31.72803/60</f>
        <v>134.52880049999999</v>
      </c>
      <c r="G15" s="113">
        <v>2015</v>
      </c>
      <c r="H15" s="113" t="s">
        <v>311</v>
      </c>
      <c r="I15" s="113" t="s">
        <v>311</v>
      </c>
      <c r="J15" s="114" t="s">
        <v>1371</v>
      </c>
      <c r="K15" s="114">
        <v>165</v>
      </c>
      <c r="L15" s="114">
        <v>2.5</v>
      </c>
      <c r="M15" s="134">
        <v>2</v>
      </c>
      <c r="N15" s="134">
        <v>3</v>
      </c>
      <c r="O15" s="300">
        <v>250</v>
      </c>
      <c r="P15" s="432">
        <f t="shared" si="0"/>
        <v>165000</v>
      </c>
      <c r="Q15" s="433">
        <f t="shared" si="1"/>
        <v>3300</v>
      </c>
    </row>
    <row r="16" spans="2:17" s="132" customFormat="1" ht="30" customHeight="1" x14ac:dyDescent="0.35">
      <c r="B16" s="126" t="s">
        <v>1698</v>
      </c>
      <c r="C16" s="126" t="s">
        <v>1348</v>
      </c>
      <c r="D16" s="299" t="s">
        <v>383</v>
      </c>
      <c r="E16" s="140">
        <f>7+21/60+46/3600</f>
        <v>7.3627777777777776</v>
      </c>
      <c r="F16" s="140">
        <f>134+31/60+18/3600</f>
        <v>134.52166666666668</v>
      </c>
      <c r="G16" s="113">
        <v>2015</v>
      </c>
      <c r="H16" s="113" t="s">
        <v>311</v>
      </c>
      <c r="I16" s="113" t="s">
        <v>311</v>
      </c>
      <c r="J16" s="114" t="s">
        <v>1371</v>
      </c>
      <c r="K16" s="114">
        <v>180</v>
      </c>
      <c r="L16" s="114">
        <v>4</v>
      </c>
      <c r="M16" s="134">
        <v>5</v>
      </c>
      <c r="N16" s="134">
        <v>5</v>
      </c>
      <c r="O16" s="300">
        <v>250</v>
      </c>
      <c r="P16" s="432">
        <f t="shared" si="0"/>
        <v>1125000</v>
      </c>
      <c r="Q16" s="433">
        <f t="shared" si="1"/>
        <v>22500</v>
      </c>
    </row>
    <row r="17" spans="2:17" s="132" customFormat="1" ht="30" customHeight="1" x14ac:dyDescent="0.35">
      <c r="B17" s="126" t="s">
        <v>1349</v>
      </c>
      <c r="C17" s="126" t="s">
        <v>1350</v>
      </c>
      <c r="D17" s="299" t="s">
        <v>855</v>
      </c>
      <c r="E17" s="140">
        <f>7+21/60+42/3600</f>
        <v>7.3616666666666664</v>
      </c>
      <c r="F17" s="140">
        <f>134+31/60+10/3600</f>
        <v>134.51944444444445</v>
      </c>
      <c r="G17" s="113">
        <v>2014</v>
      </c>
      <c r="H17" s="113" t="s">
        <v>311</v>
      </c>
      <c r="I17" s="113" t="s">
        <v>311</v>
      </c>
      <c r="J17" s="114" t="s">
        <v>1371</v>
      </c>
      <c r="K17" s="114">
        <v>455</v>
      </c>
      <c r="L17" s="114">
        <v>4</v>
      </c>
      <c r="M17" s="134">
        <v>3</v>
      </c>
      <c r="N17" s="134">
        <v>4</v>
      </c>
      <c r="O17" s="300">
        <v>250</v>
      </c>
      <c r="P17" s="432">
        <f t="shared" si="0"/>
        <v>1023750</v>
      </c>
      <c r="Q17" s="433">
        <f t="shared" si="1"/>
        <v>20475</v>
      </c>
    </row>
    <row r="18" spans="2:17" s="132" customFormat="1" ht="30" customHeight="1" x14ac:dyDescent="0.35">
      <c r="B18" s="126" t="s">
        <v>1351</v>
      </c>
      <c r="C18" s="126" t="s">
        <v>1352</v>
      </c>
      <c r="D18" s="299" t="s">
        <v>855</v>
      </c>
      <c r="E18" s="140">
        <f>7+20/60+57/3600</f>
        <v>7.3491666666666662</v>
      </c>
      <c r="F18" s="140">
        <f>134+28/60+47/3600</f>
        <v>134.47972222222222</v>
      </c>
      <c r="G18" s="113" t="s">
        <v>1361</v>
      </c>
      <c r="H18" s="113" t="s">
        <v>311</v>
      </c>
      <c r="I18" s="113" t="s">
        <v>311</v>
      </c>
      <c r="J18" s="114" t="s">
        <v>1371</v>
      </c>
      <c r="K18" s="114">
        <v>145</v>
      </c>
      <c r="L18" s="114">
        <v>3.6</v>
      </c>
      <c r="M18" s="134">
        <v>3</v>
      </c>
      <c r="N18" s="134">
        <v>4</v>
      </c>
      <c r="O18" s="300">
        <v>250</v>
      </c>
      <c r="P18" s="432">
        <f t="shared" si="0"/>
        <v>326250</v>
      </c>
      <c r="Q18" s="433">
        <f t="shared" si="1"/>
        <v>6525</v>
      </c>
    </row>
    <row r="19" spans="2:17" s="132" customFormat="1" ht="30" customHeight="1" x14ac:dyDescent="0.35">
      <c r="B19" s="126" t="s">
        <v>1353</v>
      </c>
      <c r="C19" s="126" t="s">
        <v>1354</v>
      </c>
      <c r="D19" s="299" t="s">
        <v>855</v>
      </c>
      <c r="E19" s="140">
        <f>7+19/60+37/3600</f>
        <v>7.326944444444444</v>
      </c>
      <c r="F19" s="140">
        <f>134+27/60+1/3600</f>
        <v>134.45027777777776</v>
      </c>
      <c r="G19" s="113" t="s">
        <v>1361</v>
      </c>
      <c r="H19" s="113" t="s">
        <v>311</v>
      </c>
      <c r="I19" s="113" t="s">
        <v>311</v>
      </c>
      <c r="J19" s="114" t="s">
        <v>1371</v>
      </c>
      <c r="K19" s="114">
        <v>220</v>
      </c>
      <c r="L19" s="114">
        <v>3.6</v>
      </c>
      <c r="M19" s="134">
        <v>3</v>
      </c>
      <c r="N19" s="134">
        <v>3</v>
      </c>
      <c r="O19" s="300">
        <v>250</v>
      </c>
      <c r="P19" s="432">
        <f t="shared" si="0"/>
        <v>495000</v>
      </c>
      <c r="Q19" s="433">
        <f t="shared" si="1"/>
        <v>9900</v>
      </c>
    </row>
    <row r="20" spans="2:17" s="132" customFormat="1" ht="30" customHeight="1" x14ac:dyDescent="0.35">
      <c r="B20" s="126" t="s">
        <v>1355</v>
      </c>
      <c r="C20" s="126" t="s">
        <v>1373</v>
      </c>
      <c r="D20" s="299" t="s">
        <v>855</v>
      </c>
      <c r="E20" s="140">
        <f>7+19/60+41/3600</f>
        <v>7.3280555555555553</v>
      </c>
      <c r="F20" s="140">
        <f>134+27/60+0/3600</f>
        <v>134.44999999999999</v>
      </c>
      <c r="G20" s="113" t="s">
        <v>1361</v>
      </c>
      <c r="H20" s="113" t="s">
        <v>311</v>
      </c>
      <c r="I20" s="113" t="s">
        <v>311</v>
      </c>
      <c r="J20" s="114" t="s">
        <v>1374</v>
      </c>
      <c r="K20" s="114">
        <v>250</v>
      </c>
      <c r="L20" s="114">
        <v>4.5</v>
      </c>
      <c r="M20" s="134">
        <v>5</v>
      </c>
      <c r="N20" s="134">
        <v>5</v>
      </c>
      <c r="O20" s="300">
        <v>400</v>
      </c>
      <c r="P20" s="432">
        <f t="shared" si="0"/>
        <v>2500000</v>
      </c>
      <c r="Q20" s="433">
        <f t="shared" si="1"/>
        <v>50000</v>
      </c>
    </row>
    <row r="21" spans="2:17" s="132" customFormat="1" ht="30" customHeight="1" x14ac:dyDescent="0.35">
      <c r="B21" s="126" t="s">
        <v>1372</v>
      </c>
      <c r="C21" s="126" t="s">
        <v>1699</v>
      </c>
      <c r="D21" s="299" t="s">
        <v>855</v>
      </c>
      <c r="E21" s="140">
        <f>7+21/60+17/3600</f>
        <v>7.3547222222222217</v>
      </c>
      <c r="F21" s="140">
        <f>134+27/60+50/3600</f>
        <v>134.46388888888887</v>
      </c>
      <c r="G21" s="113" t="s">
        <v>502</v>
      </c>
      <c r="H21" s="113" t="s">
        <v>311</v>
      </c>
      <c r="I21" s="113" t="s">
        <v>311</v>
      </c>
      <c r="J21" s="114" t="s">
        <v>1371</v>
      </c>
      <c r="K21" s="114">
        <v>435</v>
      </c>
      <c r="L21" s="114">
        <v>5</v>
      </c>
      <c r="M21" s="134">
        <v>2</v>
      </c>
      <c r="N21" s="134">
        <v>3</v>
      </c>
      <c r="O21" s="300">
        <v>250</v>
      </c>
      <c r="P21" s="432">
        <f t="shared" si="0"/>
        <v>435000</v>
      </c>
      <c r="Q21" s="433">
        <f t="shared" si="1"/>
        <v>8700</v>
      </c>
    </row>
    <row r="22" spans="2:17" s="132" customFormat="1" ht="30" customHeight="1" x14ac:dyDescent="0.35">
      <c r="B22" s="126" t="s">
        <v>1700</v>
      </c>
      <c r="C22" s="126" t="s">
        <v>1356</v>
      </c>
      <c r="D22" s="299" t="s">
        <v>855</v>
      </c>
      <c r="E22" s="140">
        <f>7+21/60+21/3600</f>
        <v>7.355833333333333</v>
      </c>
      <c r="F22" s="140">
        <f>134+27/60+32/3600</f>
        <v>134.45888888888888</v>
      </c>
      <c r="G22" s="113" t="s">
        <v>1361</v>
      </c>
      <c r="H22" s="113" t="s">
        <v>311</v>
      </c>
      <c r="I22" s="113" t="s">
        <v>311</v>
      </c>
      <c r="J22" s="114" t="s">
        <v>1371</v>
      </c>
      <c r="K22" s="114">
        <v>320</v>
      </c>
      <c r="L22" s="114">
        <v>3</v>
      </c>
      <c r="M22" s="134">
        <v>2</v>
      </c>
      <c r="N22" s="134">
        <v>2</v>
      </c>
      <c r="O22" s="300">
        <v>250</v>
      </c>
      <c r="P22" s="432">
        <f t="shared" si="0"/>
        <v>320000</v>
      </c>
      <c r="Q22" s="433">
        <f t="shared" si="1"/>
        <v>6400</v>
      </c>
    </row>
    <row r="23" spans="2:17" s="132" customFormat="1" ht="30" customHeight="1" x14ac:dyDescent="0.35">
      <c r="B23" s="126" t="s">
        <v>1357</v>
      </c>
      <c r="C23" s="126" t="s">
        <v>1358</v>
      </c>
      <c r="D23" s="299" t="s">
        <v>383</v>
      </c>
      <c r="E23" s="140">
        <f>6+54/60+25/3600</f>
        <v>6.906944444444445</v>
      </c>
      <c r="F23" s="140">
        <f>134+7/60+45/3600</f>
        <v>134.12916666666666</v>
      </c>
      <c r="G23" s="113">
        <v>1988</v>
      </c>
      <c r="H23" s="113">
        <v>2020</v>
      </c>
      <c r="I23" s="128" t="s">
        <v>1369</v>
      </c>
      <c r="J23" s="114" t="s">
        <v>1370</v>
      </c>
      <c r="K23" s="114">
        <v>255</v>
      </c>
      <c r="L23" s="114">
        <v>4.5</v>
      </c>
      <c r="M23" s="134">
        <v>5</v>
      </c>
      <c r="N23" s="134">
        <v>4</v>
      </c>
      <c r="O23" s="300">
        <v>400</v>
      </c>
      <c r="P23" s="432">
        <f t="shared" si="0"/>
        <v>2550000</v>
      </c>
      <c r="Q23" s="433">
        <f t="shared" si="1"/>
        <v>51000</v>
      </c>
    </row>
    <row r="24" spans="2:17" ht="25" customHeight="1" x14ac:dyDescent="0.3">
      <c r="B24" s="426"/>
      <c r="C24" s="426"/>
      <c r="D24" s="314"/>
      <c r="E24" s="314"/>
      <c r="F24" s="314"/>
      <c r="G24" s="427"/>
      <c r="H24" s="427"/>
      <c r="I24" s="427"/>
      <c r="J24" s="428"/>
      <c r="K24" s="428"/>
      <c r="L24" s="428"/>
      <c r="M24" s="291"/>
      <c r="N24" s="291"/>
      <c r="O24" s="431" t="s">
        <v>1621</v>
      </c>
      <c r="P24" s="284">
        <f>SUM(P4:P23)</f>
        <v>14067000</v>
      </c>
      <c r="Q24" s="284">
        <f t="shared" si="1"/>
        <v>281340</v>
      </c>
    </row>
    <row r="25" spans="2:17" ht="25" customHeight="1" x14ac:dyDescent="0.3">
      <c r="B25" s="426"/>
      <c r="C25" s="426"/>
      <c r="D25" s="314"/>
      <c r="E25" s="314"/>
      <c r="F25" s="314"/>
      <c r="G25" s="427"/>
      <c r="H25" s="427"/>
      <c r="I25" s="427"/>
      <c r="J25" s="428"/>
      <c r="K25" s="428"/>
      <c r="L25" s="428"/>
      <c r="M25" s="291"/>
      <c r="N25" s="291"/>
      <c r="O25" s="431"/>
    </row>
    <row r="26" spans="2:17" ht="25" customHeight="1" x14ac:dyDescent="0.3">
      <c r="B26" s="426"/>
      <c r="C26" s="426"/>
      <c r="D26" s="314"/>
      <c r="E26" s="314"/>
      <c r="F26" s="314"/>
      <c r="G26" s="427"/>
      <c r="H26" s="427"/>
      <c r="I26" s="427"/>
      <c r="J26" s="428"/>
      <c r="K26" s="428"/>
      <c r="L26" s="428"/>
      <c r="M26" s="291"/>
      <c r="N26" s="291"/>
      <c r="O26" s="431"/>
    </row>
    <row r="27" spans="2:17" ht="25" customHeight="1" x14ac:dyDescent="0.3">
      <c r="B27" s="426"/>
      <c r="C27" s="426"/>
      <c r="D27" s="314"/>
      <c r="E27" s="314"/>
      <c r="F27" s="314"/>
      <c r="G27" s="427"/>
      <c r="H27" s="427"/>
      <c r="I27" s="427"/>
      <c r="J27" s="428"/>
      <c r="K27" s="428"/>
      <c r="L27" s="428"/>
      <c r="M27" s="291"/>
      <c r="N27" s="291"/>
      <c r="O27" s="431"/>
    </row>
    <row r="28" spans="2:17" ht="25" customHeight="1" x14ac:dyDescent="0.3">
      <c r="B28" s="426"/>
      <c r="C28" s="426"/>
      <c r="D28" s="314"/>
      <c r="E28" s="314"/>
      <c r="F28" s="314"/>
      <c r="G28" s="427"/>
      <c r="H28" s="427"/>
      <c r="I28" s="427"/>
      <c r="J28" s="428"/>
      <c r="K28" s="428"/>
      <c r="L28" s="428"/>
      <c r="M28" s="291"/>
      <c r="N28" s="291"/>
      <c r="O28" s="431"/>
    </row>
    <row r="29" spans="2:17" ht="25" customHeight="1" x14ac:dyDescent="0.3">
      <c r="B29" s="426"/>
      <c r="C29" s="426"/>
      <c r="D29" s="314"/>
      <c r="E29" s="314"/>
      <c r="F29" s="314"/>
      <c r="G29" s="427"/>
      <c r="H29" s="427"/>
      <c r="I29" s="427"/>
      <c r="J29" s="428"/>
      <c r="K29" s="428"/>
      <c r="L29" s="428"/>
      <c r="M29" s="291"/>
      <c r="N29" s="291"/>
      <c r="O29" s="431"/>
    </row>
    <row r="30" spans="2:17" ht="25" customHeight="1" x14ac:dyDescent="0.3">
      <c r="B30" s="426"/>
      <c r="C30" s="426"/>
      <c r="D30" s="314"/>
      <c r="E30" s="314"/>
      <c r="F30" s="314"/>
      <c r="G30" s="427"/>
      <c r="H30" s="427"/>
      <c r="I30" s="427"/>
      <c r="J30" s="428"/>
      <c r="K30" s="428"/>
      <c r="L30" s="428"/>
      <c r="M30" s="291"/>
      <c r="N30" s="291"/>
      <c r="O30" s="431"/>
    </row>
    <row r="31" spans="2:17" ht="25" customHeight="1" x14ac:dyDescent="0.3">
      <c r="B31" s="426"/>
      <c r="C31" s="426"/>
      <c r="D31" s="314"/>
      <c r="E31" s="314"/>
      <c r="F31" s="314"/>
      <c r="G31" s="427"/>
      <c r="H31" s="427"/>
      <c r="I31" s="427"/>
      <c r="J31" s="428"/>
      <c r="K31" s="428"/>
      <c r="L31" s="428"/>
      <c r="M31" s="291"/>
      <c r="N31" s="291"/>
      <c r="O31" s="431"/>
    </row>
    <row r="32" spans="2:17" ht="25" customHeight="1" x14ac:dyDescent="0.3">
      <c r="B32" s="426"/>
      <c r="C32" s="426"/>
      <c r="D32" s="314"/>
      <c r="E32" s="314"/>
      <c r="F32" s="314"/>
      <c r="G32" s="427"/>
      <c r="H32" s="427"/>
      <c r="I32" s="427"/>
      <c r="J32" s="428"/>
      <c r="K32" s="428"/>
      <c r="L32" s="428"/>
      <c r="M32" s="291"/>
      <c r="N32" s="291"/>
      <c r="O32" s="431"/>
    </row>
    <row r="33" spans="2:15" ht="25" customHeight="1" x14ac:dyDescent="0.3">
      <c r="B33" s="426"/>
      <c r="C33" s="426"/>
      <c r="D33" s="314"/>
      <c r="E33" s="314"/>
      <c r="F33" s="314"/>
      <c r="G33" s="427"/>
      <c r="H33" s="427"/>
      <c r="I33" s="427"/>
      <c r="J33" s="428"/>
      <c r="K33" s="428"/>
      <c r="L33" s="428"/>
      <c r="M33" s="291"/>
      <c r="N33" s="291"/>
      <c r="O33" s="431"/>
    </row>
    <row r="34" spans="2:15" ht="25" customHeight="1" x14ac:dyDescent="0.3">
      <c r="B34" s="426"/>
      <c r="C34" s="426"/>
      <c r="D34" s="314"/>
      <c r="E34" s="314"/>
      <c r="F34" s="314"/>
      <c r="G34" s="427"/>
      <c r="H34" s="427"/>
      <c r="I34" s="427"/>
      <c r="J34" s="428"/>
      <c r="K34" s="428"/>
      <c r="L34" s="428"/>
      <c r="M34" s="291"/>
      <c r="N34" s="291"/>
      <c r="O34" s="431"/>
    </row>
    <row r="35" spans="2:15" ht="25" customHeight="1" x14ac:dyDescent="0.3">
      <c r="B35" s="426"/>
      <c r="C35" s="426"/>
      <c r="D35" s="314"/>
      <c r="E35" s="314"/>
      <c r="F35" s="314"/>
      <c r="G35" s="427"/>
      <c r="H35" s="427"/>
      <c r="I35" s="427"/>
      <c r="J35" s="428"/>
      <c r="K35" s="428"/>
      <c r="L35" s="428"/>
      <c r="M35" s="291"/>
      <c r="N35" s="291"/>
      <c r="O35" s="431"/>
    </row>
    <row r="36" spans="2:15" ht="25" customHeight="1" x14ac:dyDescent="0.3">
      <c r="B36" s="426"/>
      <c r="C36" s="426"/>
      <c r="D36" s="314"/>
      <c r="E36" s="314"/>
      <c r="F36" s="314"/>
      <c r="G36" s="427"/>
      <c r="H36" s="427"/>
      <c r="I36" s="427"/>
      <c r="J36" s="428"/>
      <c r="K36" s="428"/>
      <c r="L36" s="428"/>
      <c r="M36" s="291"/>
      <c r="N36" s="291"/>
      <c r="O36" s="431"/>
    </row>
    <row r="37" spans="2:15" ht="25" customHeight="1" x14ac:dyDescent="0.3">
      <c r="B37" s="426"/>
      <c r="C37" s="426"/>
      <c r="D37" s="314"/>
      <c r="E37" s="314"/>
      <c r="F37" s="314"/>
      <c r="G37" s="427"/>
      <c r="H37" s="427"/>
      <c r="I37" s="427"/>
      <c r="J37" s="428"/>
      <c r="K37" s="428"/>
      <c r="L37" s="428"/>
      <c r="M37" s="291"/>
      <c r="N37" s="291"/>
      <c r="O37" s="431"/>
    </row>
    <row r="38" spans="2:15" ht="25" customHeight="1" x14ac:dyDescent="0.3">
      <c r="B38" s="426"/>
      <c r="C38" s="426"/>
      <c r="D38" s="314"/>
      <c r="E38" s="314"/>
      <c r="F38" s="314"/>
      <c r="G38" s="427"/>
      <c r="H38" s="427"/>
      <c r="I38" s="427"/>
      <c r="J38" s="428"/>
      <c r="K38" s="428"/>
      <c r="L38" s="428"/>
      <c r="M38" s="291"/>
      <c r="N38" s="291"/>
      <c r="O38" s="431"/>
    </row>
    <row r="39" spans="2:15" ht="25" customHeight="1" x14ac:dyDescent="0.3">
      <c r="B39" s="426"/>
      <c r="C39" s="426"/>
      <c r="D39" s="314"/>
      <c r="E39" s="314"/>
      <c r="F39" s="314"/>
      <c r="G39" s="427"/>
      <c r="H39" s="427"/>
      <c r="I39" s="427"/>
      <c r="J39" s="428"/>
      <c r="K39" s="428"/>
      <c r="L39" s="428"/>
      <c r="M39" s="291"/>
      <c r="N39" s="291"/>
      <c r="O39" s="431"/>
    </row>
    <row r="40" spans="2:15" ht="25" customHeight="1" x14ac:dyDescent="0.3">
      <c r="B40" s="426"/>
      <c r="C40" s="426"/>
      <c r="D40" s="314"/>
      <c r="E40" s="314"/>
      <c r="F40" s="314"/>
      <c r="G40" s="427"/>
      <c r="H40" s="427"/>
      <c r="I40" s="427"/>
      <c r="J40" s="428"/>
      <c r="K40" s="428"/>
      <c r="L40" s="428"/>
      <c r="M40" s="291"/>
      <c r="N40" s="291"/>
      <c r="O40" s="431"/>
    </row>
    <row r="41" spans="2:15" ht="25" customHeight="1" x14ac:dyDescent="0.3">
      <c r="B41" s="426"/>
      <c r="C41" s="426"/>
      <c r="D41" s="314"/>
      <c r="E41" s="314"/>
      <c r="F41" s="314"/>
      <c r="G41" s="427"/>
      <c r="H41" s="427"/>
      <c r="I41" s="427"/>
      <c r="J41" s="428"/>
      <c r="K41" s="428"/>
      <c r="L41" s="428"/>
      <c r="M41" s="291"/>
      <c r="N41" s="291"/>
      <c r="O41" s="431"/>
    </row>
    <row r="42" spans="2:15" ht="25" customHeight="1" x14ac:dyDescent="0.3">
      <c r="B42" s="426"/>
      <c r="C42" s="426"/>
      <c r="D42" s="314"/>
      <c r="E42" s="314"/>
      <c r="F42" s="314"/>
      <c r="G42" s="427"/>
      <c r="H42" s="427"/>
      <c r="I42" s="427"/>
      <c r="J42" s="428"/>
      <c r="K42" s="428"/>
      <c r="L42" s="428"/>
      <c r="M42" s="291"/>
      <c r="N42" s="291"/>
      <c r="O42" s="431"/>
    </row>
    <row r="43" spans="2:15" ht="25" customHeight="1" x14ac:dyDescent="0.3">
      <c r="B43" s="426"/>
      <c r="C43" s="426"/>
      <c r="D43" s="314"/>
      <c r="E43" s="314"/>
      <c r="F43" s="314"/>
      <c r="G43" s="427"/>
      <c r="H43" s="427"/>
      <c r="I43" s="427"/>
      <c r="J43" s="428"/>
      <c r="K43" s="428"/>
      <c r="L43" s="428"/>
      <c r="M43" s="291"/>
      <c r="N43" s="291"/>
      <c r="O43" s="431"/>
    </row>
    <row r="44" spans="2:15" ht="25" customHeight="1" x14ac:dyDescent="0.3">
      <c r="B44" s="426"/>
      <c r="C44" s="426"/>
      <c r="D44" s="314"/>
      <c r="E44" s="314"/>
      <c r="F44" s="314"/>
      <c r="G44" s="427"/>
      <c r="H44" s="427"/>
      <c r="I44" s="427"/>
      <c r="J44" s="428"/>
      <c r="K44" s="428"/>
      <c r="L44" s="428"/>
      <c r="M44" s="291"/>
      <c r="N44" s="291"/>
      <c r="O44" s="431"/>
    </row>
    <row r="45" spans="2:15" ht="25" customHeight="1" x14ac:dyDescent="0.3">
      <c r="B45" s="426"/>
      <c r="C45" s="426"/>
      <c r="D45" s="314"/>
      <c r="E45" s="314"/>
      <c r="F45" s="314"/>
      <c r="G45" s="427"/>
      <c r="H45" s="427"/>
      <c r="I45" s="427"/>
      <c r="J45" s="428"/>
      <c r="K45" s="428"/>
      <c r="L45" s="428"/>
      <c r="M45" s="291"/>
      <c r="N45" s="291"/>
      <c r="O45" s="431"/>
    </row>
    <row r="46" spans="2:15" ht="25" customHeight="1" x14ac:dyDescent="0.3">
      <c r="B46" s="426"/>
      <c r="C46" s="426"/>
      <c r="D46" s="314"/>
      <c r="E46" s="314"/>
      <c r="F46" s="314"/>
      <c r="G46" s="427"/>
      <c r="H46" s="427"/>
      <c r="I46" s="427"/>
      <c r="J46" s="428"/>
      <c r="K46" s="428"/>
      <c r="L46" s="428"/>
      <c r="M46" s="291"/>
      <c r="N46" s="291"/>
      <c r="O46" s="431"/>
    </row>
    <row r="47" spans="2:15" ht="25" customHeight="1" x14ac:dyDescent="0.3">
      <c r="B47" s="426"/>
      <c r="C47" s="426"/>
      <c r="D47" s="314"/>
      <c r="E47" s="314"/>
      <c r="F47" s="314"/>
      <c r="G47" s="427"/>
      <c r="H47" s="427"/>
      <c r="I47" s="427"/>
      <c r="J47" s="428"/>
      <c r="K47" s="428"/>
      <c r="L47" s="428"/>
      <c r="M47" s="291"/>
      <c r="N47" s="291"/>
      <c r="O47" s="431"/>
    </row>
    <row r="48" spans="2:15" ht="25" customHeight="1" x14ac:dyDescent="0.3">
      <c r="B48" s="426"/>
      <c r="C48" s="426"/>
      <c r="D48" s="314"/>
      <c r="E48" s="314"/>
      <c r="F48" s="314"/>
      <c r="G48" s="427"/>
      <c r="H48" s="427"/>
      <c r="I48" s="427"/>
      <c r="J48" s="428"/>
      <c r="K48" s="428"/>
      <c r="L48" s="428"/>
      <c r="M48" s="291"/>
      <c r="N48" s="291"/>
      <c r="O48" s="431"/>
    </row>
    <row r="49" spans="2:15" ht="25" customHeight="1" x14ac:dyDescent="0.3">
      <c r="B49" s="426"/>
      <c r="C49" s="426"/>
      <c r="D49" s="314"/>
      <c r="E49" s="314"/>
      <c r="F49" s="314"/>
      <c r="G49" s="427"/>
      <c r="H49" s="427"/>
      <c r="I49" s="427"/>
      <c r="J49" s="428"/>
      <c r="K49" s="428"/>
      <c r="L49" s="428"/>
      <c r="M49" s="291"/>
      <c r="N49" s="291"/>
      <c r="O49" s="431"/>
    </row>
    <row r="50" spans="2:15" ht="25" customHeight="1" x14ac:dyDescent="0.3">
      <c r="B50" s="426"/>
      <c r="C50" s="426"/>
      <c r="D50" s="314"/>
      <c r="E50" s="314"/>
      <c r="F50" s="314"/>
      <c r="G50" s="427"/>
      <c r="H50" s="427"/>
      <c r="I50" s="427"/>
      <c r="J50" s="428"/>
      <c r="K50" s="428"/>
      <c r="L50" s="428"/>
      <c r="M50" s="291"/>
      <c r="N50" s="291"/>
      <c r="O50" s="431"/>
    </row>
    <row r="51" spans="2:15" ht="25" customHeight="1" x14ac:dyDescent="0.3">
      <c r="B51" s="426"/>
      <c r="C51" s="426"/>
      <c r="D51" s="314"/>
      <c r="E51" s="314"/>
      <c r="F51" s="314"/>
      <c r="G51" s="427"/>
      <c r="H51" s="427"/>
      <c r="I51" s="427"/>
      <c r="J51" s="428"/>
      <c r="K51" s="428"/>
      <c r="L51" s="428"/>
      <c r="M51" s="291"/>
      <c r="N51" s="291"/>
      <c r="O51" s="431"/>
    </row>
    <row r="52" spans="2:15" ht="25" customHeight="1" x14ac:dyDescent="0.3">
      <c r="B52" s="426"/>
      <c r="C52" s="426"/>
      <c r="D52" s="314"/>
      <c r="E52" s="314"/>
      <c r="F52" s="314"/>
      <c r="G52" s="427"/>
      <c r="H52" s="427"/>
      <c r="I52" s="427"/>
      <c r="J52" s="428"/>
      <c r="K52" s="428"/>
      <c r="L52" s="428"/>
      <c r="M52" s="291"/>
      <c r="N52" s="291"/>
      <c r="O52" s="431"/>
    </row>
    <row r="53" spans="2:15" ht="25" customHeight="1" x14ac:dyDescent="0.3">
      <c r="B53" s="426"/>
      <c r="C53" s="426"/>
      <c r="D53" s="314"/>
      <c r="E53" s="314"/>
      <c r="F53" s="314"/>
      <c r="G53" s="427"/>
      <c r="H53" s="427"/>
      <c r="I53" s="427"/>
      <c r="J53" s="428"/>
      <c r="K53" s="428"/>
      <c r="L53" s="428"/>
      <c r="M53" s="291"/>
      <c r="N53" s="291"/>
      <c r="O53" s="431"/>
    </row>
    <row r="54" spans="2:15" ht="25" customHeight="1" x14ac:dyDescent="0.3">
      <c r="B54" s="426"/>
      <c r="C54" s="426"/>
      <c r="D54" s="314"/>
      <c r="E54" s="314"/>
      <c r="F54" s="314"/>
      <c r="G54" s="427"/>
      <c r="H54" s="427"/>
      <c r="I54" s="427"/>
      <c r="J54" s="428"/>
      <c r="K54" s="428"/>
      <c r="L54" s="428"/>
      <c r="M54" s="291"/>
      <c r="N54" s="291"/>
      <c r="O54" s="431"/>
    </row>
    <row r="55" spans="2:15" ht="25" customHeight="1" x14ac:dyDescent="0.3">
      <c r="B55" s="426"/>
      <c r="C55" s="426"/>
      <c r="D55" s="314"/>
      <c r="E55" s="314"/>
      <c r="F55" s="314"/>
      <c r="G55" s="427"/>
      <c r="H55" s="427"/>
      <c r="I55" s="427"/>
      <c r="J55" s="428"/>
      <c r="K55" s="428"/>
      <c r="L55" s="428"/>
      <c r="M55" s="291"/>
      <c r="N55" s="291"/>
      <c r="O55" s="431"/>
    </row>
    <row r="56" spans="2:15" ht="25" customHeight="1" x14ac:dyDescent="0.3">
      <c r="B56" s="426"/>
      <c r="C56" s="426"/>
      <c r="D56" s="314"/>
      <c r="E56" s="314"/>
      <c r="F56" s="314"/>
      <c r="G56" s="427"/>
      <c r="H56" s="427"/>
      <c r="I56" s="427"/>
      <c r="J56" s="428"/>
      <c r="K56" s="428"/>
      <c r="L56" s="428"/>
      <c r="M56" s="291"/>
      <c r="N56" s="291"/>
      <c r="O56" s="431"/>
    </row>
    <row r="57" spans="2:15" ht="25" customHeight="1" x14ac:dyDescent="0.3">
      <c r="B57" s="426"/>
      <c r="C57" s="426"/>
      <c r="D57" s="314"/>
      <c r="E57" s="314"/>
      <c r="F57" s="314"/>
      <c r="G57" s="427"/>
      <c r="H57" s="427"/>
      <c r="I57" s="427"/>
      <c r="J57" s="428"/>
      <c r="K57" s="428"/>
      <c r="L57" s="428"/>
      <c r="M57" s="291"/>
      <c r="N57" s="291"/>
      <c r="O57" s="431"/>
    </row>
    <row r="58" spans="2:15" ht="25" customHeight="1" x14ac:dyDescent="0.3">
      <c r="B58" s="426"/>
      <c r="C58" s="426"/>
      <c r="D58" s="314"/>
      <c r="E58" s="314"/>
      <c r="F58" s="314"/>
      <c r="G58" s="427"/>
      <c r="H58" s="427"/>
      <c r="I58" s="427"/>
      <c r="J58" s="428"/>
      <c r="K58" s="428"/>
      <c r="L58" s="428"/>
      <c r="M58" s="291"/>
      <c r="N58" s="291"/>
      <c r="O58" s="431"/>
    </row>
    <row r="59" spans="2:15" ht="25" customHeight="1" x14ac:dyDescent="0.3">
      <c r="B59" s="426"/>
      <c r="C59" s="426"/>
      <c r="D59" s="314"/>
      <c r="E59" s="314"/>
      <c r="F59" s="314"/>
      <c r="G59" s="427"/>
      <c r="H59" s="427"/>
      <c r="I59" s="427"/>
      <c r="J59" s="428"/>
      <c r="K59" s="428"/>
      <c r="L59" s="428"/>
      <c r="M59" s="291"/>
      <c r="N59" s="291"/>
      <c r="O59" s="431"/>
    </row>
    <row r="60" spans="2:15" ht="25" customHeight="1" x14ac:dyDescent="0.3">
      <c r="B60" s="426"/>
      <c r="C60" s="426"/>
      <c r="D60" s="314"/>
      <c r="E60" s="314"/>
      <c r="F60" s="314"/>
      <c r="G60" s="427"/>
      <c r="H60" s="427"/>
      <c r="I60" s="427"/>
      <c r="J60" s="428"/>
      <c r="K60" s="428"/>
      <c r="L60" s="428"/>
      <c r="M60" s="291"/>
      <c r="N60" s="291"/>
      <c r="O60" s="431"/>
    </row>
    <row r="61" spans="2:15" ht="25" customHeight="1" x14ac:dyDescent="0.3">
      <c r="B61" s="426"/>
      <c r="C61" s="426"/>
      <c r="D61" s="314"/>
      <c r="E61" s="314"/>
      <c r="F61" s="314"/>
      <c r="G61" s="427"/>
      <c r="H61" s="427"/>
      <c r="I61" s="427"/>
      <c r="J61" s="428"/>
      <c r="K61" s="428"/>
      <c r="L61" s="428"/>
      <c r="M61" s="291"/>
      <c r="N61" s="291"/>
      <c r="O61" s="431"/>
    </row>
    <row r="62" spans="2:15" ht="25" customHeight="1" x14ac:dyDescent="0.3">
      <c r="B62" s="426"/>
      <c r="C62" s="426"/>
      <c r="D62" s="314"/>
      <c r="E62" s="314"/>
      <c r="F62" s="314"/>
      <c r="G62" s="427"/>
      <c r="H62" s="427"/>
      <c r="I62" s="427"/>
      <c r="J62" s="428"/>
      <c r="K62" s="428"/>
      <c r="L62" s="428"/>
      <c r="M62" s="291"/>
      <c r="N62" s="291"/>
      <c r="O62" s="431"/>
    </row>
    <row r="63" spans="2:15" ht="25" customHeight="1" x14ac:dyDescent="0.3">
      <c r="B63" s="426"/>
      <c r="C63" s="426"/>
      <c r="D63" s="314"/>
      <c r="E63" s="314"/>
      <c r="F63" s="314"/>
      <c r="G63" s="427"/>
      <c r="H63" s="427"/>
      <c r="I63" s="427"/>
      <c r="J63" s="428"/>
      <c r="K63" s="428"/>
      <c r="L63" s="428"/>
      <c r="M63" s="291"/>
      <c r="N63" s="291"/>
      <c r="O63" s="431"/>
    </row>
    <row r="64" spans="2:15" ht="25" customHeight="1" x14ac:dyDescent="0.3">
      <c r="B64" s="426"/>
      <c r="C64" s="426"/>
      <c r="D64" s="314"/>
      <c r="E64" s="314"/>
      <c r="F64" s="314"/>
      <c r="G64" s="427"/>
      <c r="H64" s="427"/>
      <c r="I64" s="427"/>
      <c r="J64" s="428"/>
      <c r="K64" s="428"/>
      <c r="L64" s="428"/>
      <c r="M64" s="291"/>
      <c r="N64" s="291"/>
      <c r="O64" s="431"/>
    </row>
    <row r="65" spans="2:15" ht="25" customHeight="1" x14ac:dyDescent="0.3">
      <c r="B65" s="426"/>
      <c r="C65" s="426"/>
      <c r="D65" s="314"/>
      <c r="E65" s="314"/>
      <c r="F65" s="314"/>
      <c r="G65" s="427"/>
      <c r="H65" s="427"/>
      <c r="I65" s="427"/>
      <c r="J65" s="428"/>
      <c r="K65" s="428"/>
      <c r="L65" s="428"/>
      <c r="M65" s="291"/>
      <c r="N65" s="291"/>
      <c r="O65" s="431"/>
    </row>
    <row r="66" spans="2:15" ht="25" customHeight="1" x14ac:dyDescent="0.3">
      <c r="B66" s="426"/>
      <c r="C66" s="426"/>
      <c r="D66" s="314"/>
      <c r="E66" s="314"/>
      <c r="F66" s="314"/>
      <c r="G66" s="427"/>
      <c r="H66" s="427"/>
      <c r="I66" s="427"/>
      <c r="J66" s="428"/>
      <c r="K66" s="428"/>
      <c r="L66" s="428"/>
      <c r="M66" s="291"/>
      <c r="N66" s="291"/>
      <c r="O66" s="431"/>
    </row>
    <row r="67" spans="2:15" ht="25" customHeight="1" x14ac:dyDescent="0.3">
      <c r="B67" s="426"/>
      <c r="C67" s="426"/>
      <c r="D67" s="314"/>
      <c r="E67" s="314"/>
      <c r="F67" s="314"/>
      <c r="G67" s="427"/>
      <c r="H67" s="427"/>
      <c r="I67" s="427"/>
      <c r="J67" s="428"/>
      <c r="K67" s="428"/>
      <c r="L67" s="428"/>
      <c r="M67" s="291"/>
      <c r="N67" s="291"/>
      <c r="O67" s="431"/>
    </row>
    <row r="68" spans="2:15" ht="25" customHeight="1" x14ac:dyDescent="0.3">
      <c r="B68" s="426"/>
      <c r="C68" s="426"/>
      <c r="D68" s="314"/>
      <c r="E68" s="314"/>
      <c r="F68" s="314"/>
      <c r="G68" s="427"/>
      <c r="H68" s="427"/>
      <c r="I68" s="427"/>
      <c r="J68" s="428"/>
      <c r="K68" s="428"/>
      <c r="L68" s="428"/>
      <c r="M68" s="291"/>
      <c r="N68" s="291"/>
      <c r="O68" s="431"/>
    </row>
    <row r="69" spans="2:15" ht="25" customHeight="1" x14ac:dyDescent="0.3">
      <c r="B69" s="426"/>
      <c r="C69" s="426"/>
      <c r="D69" s="314"/>
      <c r="E69" s="314"/>
      <c r="F69" s="314"/>
      <c r="G69" s="427"/>
      <c r="H69" s="427"/>
      <c r="I69" s="427"/>
      <c r="J69" s="428"/>
      <c r="K69" s="428"/>
      <c r="L69" s="428"/>
      <c r="M69" s="291"/>
      <c r="N69" s="291"/>
      <c r="O69" s="431"/>
    </row>
    <row r="70" spans="2:15" ht="25" customHeight="1" x14ac:dyDescent="0.3">
      <c r="B70" s="426"/>
      <c r="C70" s="426"/>
      <c r="D70" s="314"/>
      <c r="E70" s="314"/>
      <c r="F70" s="314"/>
      <c r="G70" s="427"/>
      <c r="H70" s="427"/>
      <c r="I70" s="427"/>
      <c r="J70" s="428"/>
      <c r="K70" s="428"/>
      <c r="L70" s="428"/>
      <c r="M70" s="291"/>
      <c r="N70" s="291"/>
      <c r="O70" s="431"/>
    </row>
    <row r="71" spans="2:15" ht="25" customHeight="1" x14ac:dyDescent="0.3">
      <c r="B71" s="426"/>
      <c r="C71" s="426"/>
      <c r="D71" s="314"/>
      <c r="E71" s="314"/>
      <c r="F71" s="314"/>
      <c r="G71" s="427"/>
      <c r="H71" s="427"/>
      <c r="I71" s="427"/>
      <c r="J71" s="428"/>
      <c r="K71" s="428"/>
      <c r="L71" s="428"/>
      <c r="M71" s="291"/>
      <c r="N71" s="291"/>
      <c r="O71" s="431"/>
    </row>
    <row r="72" spans="2:15" ht="25" customHeight="1" x14ac:dyDescent="0.3">
      <c r="B72" s="426"/>
      <c r="C72" s="426"/>
      <c r="D72" s="314"/>
      <c r="E72" s="314"/>
      <c r="F72" s="314"/>
      <c r="G72" s="427"/>
      <c r="H72" s="427"/>
      <c r="I72" s="427"/>
      <c r="J72" s="428"/>
      <c r="K72" s="428"/>
      <c r="L72" s="428"/>
      <c r="M72" s="291"/>
      <c r="N72" s="291"/>
      <c r="O72" s="431"/>
    </row>
    <row r="73" spans="2:15" ht="25" customHeight="1" x14ac:dyDescent="0.3">
      <c r="B73" s="426"/>
      <c r="C73" s="426"/>
      <c r="D73" s="314"/>
      <c r="E73" s="314"/>
      <c r="F73" s="314"/>
      <c r="G73" s="427"/>
      <c r="H73" s="427"/>
      <c r="I73" s="427"/>
      <c r="J73" s="428"/>
      <c r="K73" s="428"/>
      <c r="L73" s="428"/>
      <c r="M73" s="291"/>
      <c r="N73" s="291"/>
      <c r="O73" s="431"/>
    </row>
    <row r="74" spans="2:15" ht="25" customHeight="1" x14ac:dyDescent="0.3">
      <c r="B74" s="426"/>
      <c r="C74" s="426"/>
      <c r="D74" s="314"/>
      <c r="E74" s="314"/>
      <c r="F74" s="314"/>
      <c r="G74" s="427"/>
      <c r="H74" s="427"/>
      <c r="I74" s="427"/>
      <c r="J74" s="428"/>
      <c r="K74" s="428"/>
      <c r="L74" s="428"/>
      <c r="M74" s="291"/>
      <c r="N74" s="291"/>
      <c r="O74" s="431"/>
    </row>
    <row r="75" spans="2:15" ht="25" customHeight="1" x14ac:dyDescent="0.3">
      <c r="B75" s="426"/>
      <c r="C75" s="426"/>
      <c r="D75" s="314"/>
      <c r="E75" s="314"/>
      <c r="F75" s="314"/>
      <c r="G75" s="427"/>
      <c r="H75" s="427"/>
      <c r="I75" s="427"/>
      <c r="J75" s="428"/>
      <c r="K75" s="428"/>
      <c r="L75" s="428"/>
      <c r="M75" s="291"/>
      <c r="N75" s="291"/>
      <c r="O75" s="431"/>
    </row>
    <row r="76" spans="2:15" ht="25" customHeight="1" x14ac:dyDescent="0.3">
      <c r="B76" s="426"/>
      <c r="C76" s="426"/>
      <c r="D76" s="314"/>
      <c r="E76" s="314"/>
      <c r="F76" s="314"/>
      <c r="G76" s="427"/>
      <c r="H76" s="427"/>
      <c r="I76" s="427"/>
      <c r="J76" s="428"/>
      <c r="K76" s="428"/>
      <c r="L76" s="428"/>
      <c r="M76" s="291"/>
      <c r="N76" s="291"/>
      <c r="O76" s="431"/>
    </row>
    <row r="77" spans="2:15" ht="25" customHeight="1" x14ac:dyDescent="0.3">
      <c r="B77" s="426"/>
      <c r="C77" s="426"/>
      <c r="D77" s="314"/>
      <c r="E77" s="314"/>
      <c r="F77" s="314"/>
      <c r="G77" s="427"/>
      <c r="H77" s="427"/>
      <c r="I77" s="427"/>
      <c r="J77" s="428"/>
      <c r="K77" s="428"/>
      <c r="L77" s="428"/>
      <c r="M77" s="291"/>
      <c r="N77" s="291"/>
      <c r="O77" s="431"/>
    </row>
    <row r="78" spans="2:15" ht="25" customHeight="1" x14ac:dyDescent="0.3">
      <c r="B78" s="426"/>
      <c r="C78" s="426"/>
      <c r="D78" s="314"/>
      <c r="E78" s="314"/>
      <c r="F78" s="314"/>
      <c r="G78" s="427"/>
      <c r="H78" s="427"/>
      <c r="I78" s="427"/>
      <c r="J78" s="428"/>
      <c r="K78" s="428"/>
      <c r="L78" s="428"/>
      <c r="M78" s="291"/>
      <c r="N78" s="291"/>
      <c r="O78" s="431"/>
    </row>
    <row r="79" spans="2:15" ht="25" customHeight="1" x14ac:dyDescent="0.3">
      <c r="B79" s="426"/>
      <c r="C79" s="426"/>
      <c r="D79" s="314"/>
      <c r="E79" s="314"/>
      <c r="F79" s="314"/>
      <c r="G79" s="427"/>
      <c r="H79" s="427"/>
      <c r="I79" s="427"/>
      <c r="J79" s="428"/>
      <c r="K79" s="428"/>
      <c r="L79" s="428"/>
      <c r="M79" s="291"/>
      <c r="N79" s="291"/>
      <c r="O79" s="431"/>
    </row>
    <row r="80" spans="2:15" ht="25" customHeight="1" x14ac:dyDescent="0.3">
      <c r="B80" s="426"/>
      <c r="C80" s="426"/>
      <c r="D80" s="314"/>
      <c r="E80" s="314"/>
      <c r="F80" s="314"/>
      <c r="G80" s="427"/>
      <c r="H80" s="427"/>
      <c r="I80" s="427"/>
      <c r="J80" s="428"/>
      <c r="K80" s="428"/>
      <c r="L80" s="428"/>
      <c r="M80" s="291"/>
      <c r="N80" s="291"/>
      <c r="O80" s="431"/>
    </row>
    <row r="81" spans="2:15" ht="25" customHeight="1" x14ac:dyDescent="0.3">
      <c r="B81" s="426"/>
      <c r="C81" s="426"/>
      <c r="D81" s="314"/>
      <c r="E81" s="314"/>
      <c r="F81" s="314"/>
      <c r="G81" s="427"/>
      <c r="H81" s="427"/>
      <c r="I81" s="427"/>
      <c r="J81" s="428"/>
      <c r="K81" s="428"/>
      <c r="L81" s="428"/>
      <c r="M81" s="291"/>
      <c r="N81" s="291"/>
      <c r="O81" s="431"/>
    </row>
    <row r="82" spans="2:15" ht="25" customHeight="1" x14ac:dyDescent="0.3">
      <c r="B82" s="426"/>
      <c r="C82" s="426"/>
      <c r="D82" s="314"/>
      <c r="E82" s="314"/>
      <c r="F82" s="314"/>
      <c r="G82" s="427"/>
      <c r="H82" s="427"/>
      <c r="I82" s="427"/>
      <c r="J82" s="428"/>
      <c r="K82" s="428"/>
      <c r="L82" s="428"/>
      <c r="M82" s="291"/>
      <c r="N82" s="291"/>
      <c r="O82" s="431"/>
    </row>
    <row r="83" spans="2:15" ht="25" customHeight="1" x14ac:dyDescent="0.3">
      <c r="B83" s="426"/>
      <c r="C83" s="426"/>
      <c r="D83" s="314"/>
      <c r="E83" s="314"/>
      <c r="F83" s="314"/>
      <c r="G83" s="427"/>
      <c r="H83" s="427"/>
      <c r="I83" s="427"/>
      <c r="J83" s="428"/>
      <c r="K83" s="428"/>
      <c r="L83" s="428"/>
      <c r="M83" s="291"/>
      <c r="N83" s="291"/>
      <c r="O83" s="431"/>
    </row>
    <row r="84" spans="2:15" ht="25" customHeight="1" x14ac:dyDescent="0.3">
      <c r="B84" s="426"/>
      <c r="C84" s="426"/>
      <c r="D84" s="314"/>
      <c r="E84" s="314"/>
      <c r="F84" s="314"/>
      <c r="G84" s="427"/>
      <c r="H84" s="427"/>
      <c r="I84" s="427"/>
      <c r="J84" s="428"/>
      <c r="K84" s="428"/>
      <c r="L84" s="428"/>
      <c r="M84" s="291"/>
      <c r="N84" s="291"/>
      <c r="O84" s="431"/>
    </row>
    <row r="85" spans="2:15" ht="25" customHeight="1" x14ac:dyDescent="0.3">
      <c r="B85" s="426"/>
      <c r="C85" s="426"/>
      <c r="D85" s="314"/>
      <c r="E85" s="314"/>
      <c r="F85" s="314"/>
      <c r="G85" s="427"/>
      <c r="H85" s="427"/>
      <c r="I85" s="427"/>
      <c r="J85" s="428"/>
      <c r="K85" s="428"/>
      <c r="L85" s="428"/>
      <c r="M85" s="291"/>
      <c r="N85" s="291"/>
      <c r="O85" s="431"/>
    </row>
    <row r="86" spans="2:15" ht="25" customHeight="1" x14ac:dyDescent="0.3">
      <c r="B86" s="426"/>
      <c r="C86" s="426"/>
      <c r="D86" s="314"/>
      <c r="E86" s="314"/>
      <c r="F86" s="314"/>
      <c r="G86" s="427"/>
      <c r="H86" s="427"/>
      <c r="I86" s="427"/>
      <c r="J86" s="428"/>
      <c r="K86" s="428"/>
      <c r="L86" s="428"/>
      <c r="M86" s="291"/>
      <c r="N86" s="291"/>
      <c r="O86" s="431"/>
    </row>
    <row r="87" spans="2:15" ht="25" customHeight="1" x14ac:dyDescent="0.3">
      <c r="B87" s="426"/>
      <c r="C87" s="426"/>
      <c r="D87" s="314"/>
      <c r="E87" s="314"/>
      <c r="F87" s="314"/>
      <c r="G87" s="427"/>
      <c r="H87" s="427"/>
      <c r="I87" s="427"/>
      <c r="J87" s="428"/>
      <c r="K87" s="428"/>
      <c r="L87" s="428"/>
      <c r="M87" s="291"/>
      <c r="N87" s="291"/>
      <c r="O87" s="431"/>
    </row>
    <row r="88" spans="2:15" ht="25" customHeight="1" x14ac:dyDescent="0.3">
      <c r="B88" s="426"/>
      <c r="C88" s="426"/>
      <c r="D88" s="314"/>
      <c r="E88" s="314"/>
      <c r="F88" s="314"/>
      <c r="G88" s="427"/>
      <c r="H88" s="427"/>
      <c r="I88" s="427"/>
      <c r="J88" s="428"/>
      <c r="K88" s="428"/>
      <c r="L88" s="428"/>
      <c r="M88" s="291"/>
      <c r="N88" s="291"/>
      <c r="O88" s="431"/>
    </row>
    <row r="89" spans="2:15" ht="25" customHeight="1" x14ac:dyDescent="0.3">
      <c r="B89" s="426"/>
      <c r="C89" s="426"/>
      <c r="D89" s="314"/>
      <c r="E89" s="314"/>
      <c r="F89" s="314"/>
      <c r="G89" s="427"/>
      <c r="H89" s="427"/>
      <c r="I89" s="427"/>
      <c r="J89" s="428"/>
      <c r="K89" s="428"/>
      <c r="L89" s="428"/>
      <c r="M89" s="291"/>
      <c r="N89" s="291"/>
      <c r="O89" s="431"/>
    </row>
    <row r="90" spans="2:15" ht="25" customHeight="1" x14ac:dyDescent="0.3">
      <c r="B90" s="426"/>
      <c r="C90" s="426"/>
      <c r="D90" s="314"/>
      <c r="E90" s="314"/>
      <c r="F90" s="314"/>
      <c r="G90" s="427"/>
      <c r="H90" s="427"/>
      <c r="I90" s="427"/>
      <c r="J90" s="428"/>
      <c r="K90" s="428"/>
      <c r="L90" s="428"/>
      <c r="M90" s="291"/>
      <c r="N90" s="291"/>
      <c r="O90" s="431"/>
    </row>
    <row r="91" spans="2:15" ht="25" customHeight="1" x14ac:dyDescent="0.3">
      <c r="B91" s="426"/>
      <c r="C91" s="426"/>
      <c r="D91" s="314"/>
      <c r="E91" s="314"/>
      <c r="F91" s="314"/>
      <c r="G91" s="427"/>
      <c r="H91" s="427"/>
      <c r="I91" s="427"/>
      <c r="J91" s="428"/>
      <c r="K91" s="428"/>
      <c r="L91" s="428"/>
      <c r="M91" s="291"/>
      <c r="N91" s="291"/>
      <c r="O91" s="431"/>
    </row>
    <row r="92" spans="2:15" ht="25" customHeight="1" x14ac:dyDescent="0.3">
      <c r="B92" s="426"/>
      <c r="C92" s="426"/>
      <c r="D92" s="314"/>
      <c r="E92" s="314"/>
      <c r="F92" s="314"/>
      <c r="G92" s="427"/>
      <c r="H92" s="427"/>
      <c r="I92" s="427"/>
      <c r="J92" s="428"/>
      <c r="K92" s="428"/>
      <c r="L92" s="428"/>
      <c r="M92" s="291"/>
      <c r="N92" s="291"/>
      <c r="O92" s="431"/>
    </row>
    <row r="93" spans="2:15" ht="25" customHeight="1" x14ac:dyDescent="0.3">
      <c r="B93" s="426"/>
      <c r="C93" s="426"/>
      <c r="D93" s="314"/>
      <c r="E93" s="314"/>
      <c r="F93" s="314"/>
      <c r="G93" s="427"/>
      <c r="H93" s="427"/>
      <c r="I93" s="427"/>
      <c r="J93" s="428"/>
      <c r="K93" s="428"/>
      <c r="L93" s="428"/>
      <c r="M93" s="291"/>
      <c r="N93" s="291"/>
      <c r="O93" s="431"/>
    </row>
    <row r="94" spans="2:15" ht="25" customHeight="1" x14ac:dyDescent="0.3">
      <c r="B94" s="426"/>
      <c r="C94" s="426"/>
      <c r="D94" s="314"/>
      <c r="E94" s="314"/>
      <c r="F94" s="314"/>
      <c r="G94" s="427"/>
      <c r="H94" s="427"/>
      <c r="I94" s="427"/>
      <c r="J94" s="428"/>
      <c r="K94" s="428"/>
      <c r="L94" s="428"/>
      <c r="M94" s="291"/>
      <c r="N94" s="291"/>
      <c r="O94" s="431"/>
    </row>
    <row r="95" spans="2:15" ht="25" customHeight="1" x14ac:dyDescent="0.3">
      <c r="B95" s="426"/>
      <c r="C95" s="426"/>
      <c r="D95" s="314"/>
      <c r="E95" s="314"/>
      <c r="F95" s="314"/>
      <c r="G95" s="427"/>
      <c r="H95" s="427"/>
      <c r="I95" s="427"/>
      <c r="J95" s="428"/>
      <c r="K95" s="428"/>
      <c r="L95" s="428"/>
      <c r="M95" s="291"/>
      <c r="N95" s="291"/>
      <c r="O95" s="431"/>
    </row>
    <row r="96" spans="2:15" ht="25" customHeight="1" x14ac:dyDescent="0.3">
      <c r="B96" s="426"/>
      <c r="C96" s="426"/>
      <c r="D96" s="314"/>
      <c r="E96" s="314"/>
      <c r="F96" s="314"/>
      <c r="G96" s="427"/>
      <c r="H96" s="427"/>
      <c r="I96" s="427"/>
      <c r="J96" s="428"/>
      <c r="K96" s="428"/>
      <c r="L96" s="428"/>
      <c r="M96" s="291"/>
      <c r="N96" s="291"/>
      <c r="O96" s="431"/>
    </row>
    <row r="97" spans="2:15" ht="25" customHeight="1" x14ac:dyDescent="0.3">
      <c r="B97" s="426"/>
      <c r="C97" s="426"/>
      <c r="D97" s="314"/>
      <c r="E97" s="314"/>
      <c r="F97" s="314"/>
      <c r="G97" s="427"/>
      <c r="H97" s="427"/>
      <c r="I97" s="427"/>
      <c r="J97" s="428"/>
      <c r="K97" s="428"/>
      <c r="L97" s="428"/>
      <c r="M97" s="291"/>
      <c r="N97" s="291"/>
      <c r="O97" s="431"/>
    </row>
    <row r="98" spans="2:15" ht="25" customHeight="1" x14ac:dyDescent="0.3">
      <c r="B98" s="426"/>
      <c r="C98" s="426"/>
      <c r="D98" s="314"/>
      <c r="E98" s="314"/>
      <c r="F98" s="314"/>
      <c r="G98" s="427"/>
      <c r="H98" s="427"/>
      <c r="I98" s="427"/>
      <c r="J98" s="428"/>
      <c r="K98" s="428"/>
      <c r="L98" s="428"/>
      <c r="M98" s="291"/>
      <c r="N98" s="291"/>
      <c r="O98" s="431"/>
    </row>
    <row r="99" spans="2:15" ht="25" customHeight="1" x14ac:dyDescent="0.3">
      <c r="B99" s="426"/>
      <c r="C99" s="426"/>
      <c r="D99" s="314"/>
      <c r="E99" s="314"/>
      <c r="F99" s="314"/>
      <c r="G99" s="427"/>
      <c r="H99" s="427"/>
      <c r="I99" s="427"/>
      <c r="J99" s="428"/>
      <c r="K99" s="428"/>
      <c r="L99" s="428"/>
      <c r="M99" s="291"/>
      <c r="N99" s="291"/>
      <c r="O99" s="431"/>
    </row>
    <row r="100" spans="2:15" ht="25" customHeight="1" x14ac:dyDescent="0.3">
      <c r="B100" s="426"/>
      <c r="C100" s="426"/>
      <c r="D100" s="314"/>
      <c r="E100" s="314"/>
      <c r="F100" s="314"/>
      <c r="G100" s="427"/>
      <c r="H100" s="427"/>
      <c r="I100" s="427"/>
      <c r="J100" s="428"/>
      <c r="K100" s="428"/>
      <c r="L100" s="428"/>
      <c r="M100" s="291"/>
      <c r="N100" s="291"/>
      <c r="O100" s="431"/>
    </row>
    <row r="101" spans="2:15" ht="25" customHeight="1" x14ac:dyDescent="0.3">
      <c r="B101" s="426"/>
      <c r="C101" s="426"/>
      <c r="D101" s="314"/>
      <c r="E101" s="314"/>
      <c r="F101" s="314"/>
      <c r="G101" s="427"/>
      <c r="H101" s="427"/>
      <c r="I101" s="427"/>
      <c r="J101" s="428"/>
      <c r="K101" s="428"/>
      <c r="L101" s="428"/>
      <c r="M101" s="291"/>
      <c r="N101" s="291"/>
      <c r="O101" s="431"/>
    </row>
    <row r="102" spans="2:15" ht="25" customHeight="1" x14ac:dyDescent="0.3">
      <c r="B102" s="426"/>
      <c r="C102" s="426"/>
      <c r="D102" s="314"/>
      <c r="E102" s="314"/>
      <c r="F102" s="314"/>
      <c r="G102" s="427"/>
      <c r="H102" s="427"/>
      <c r="I102" s="427"/>
      <c r="J102" s="428"/>
      <c r="K102" s="428"/>
      <c r="L102" s="428"/>
      <c r="M102" s="291"/>
      <c r="N102" s="291"/>
      <c r="O102" s="431"/>
    </row>
    <row r="103" spans="2:15" ht="25" customHeight="1" x14ac:dyDescent="0.3">
      <c r="B103" s="426"/>
      <c r="C103" s="426"/>
      <c r="D103" s="314"/>
      <c r="E103" s="314"/>
      <c r="F103" s="314"/>
      <c r="G103" s="427"/>
      <c r="H103" s="427"/>
      <c r="I103" s="427"/>
      <c r="J103" s="428"/>
      <c r="K103" s="428"/>
      <c r="L103" s="428"/>
      <c r="M103" s="291"/>
      <c r="N103" s="291"/>
      <c r="O103" s="431"/>
    </row>
    <row r="104" spans="2:15" ht="25" customHeight="1" x14ac:dyDescent="0.3">
      <c r="B104" s="426"/>
      <c r="C104" s="426"/>
      <c r="D104" s="314"/>
      <c r="E104" s="314"/>
      <c r="F104" s="314"/>
      <c r="G104" s="427"/>
      <c r="H104" s="427"/>
      <c r="I104" s="427"/>
      <c r="J104" s="428"/>
      <c r="K104" s="428"/>
      <c r="L104" s="428"/>
      <c r="M104" s="291"/>
      <c r="N104" s="291"/>
      <c r="O104" s="431"/>
    </row>
    <row r="105" spans="2:15" ht="25" customHeight="1" x14ac:dyDescent="0.3">
      <c r="B105" s="426"/>
      <c r="C105" s="426"/>
      <c r="D105" s="314"/>
      <c r="E105" s="314"/>
      <c r="F105" s="314"/>
      <c r="G105" s="427"/>
      <c r="H105" s="427"/>
      <c r="I105" s="427"/>
      <c r="J105" s="428"/>
      <c r="K105" s="428"/>
      <c r="L105" s="428"/>
      <c r="M105" s="291"/>
      <c r="N105" s="291"/>
      <c r="O105" s="431"/>
    </row>
    <row r="106" spans="2:15" ht="25" customHeight="1" x14ac:dyDescent="0.3">
      <c r="B106" s="426"/>
      <c r="C106" s="426"/>
      <c r="D106" s="314"/>
      <c r="E106" s="314"/>
      <c r="F106" s="314"/>
      <c r="G106" s="427"/>
      <c r="H106" s="427"/>
      <c r="I106" s="427"/>
      <c r="J106" s="428"/>
      <c r="K106" s="428"/>
      <c r="L106" s="428"/>
      <c r="M106" s="291"/>
      <c r="N106" s="291"/>
      <c r="O106" s="431"/>
    </row>
    <row r="107" spans="2:15" ht="25" customHeight="1" x14ac:dyDescent="0.3">
      <c r="B107" s="426"/>
      <c r="C107" s="426"/>
      <c r="D107" s="314"/>
      <c r="E107" s="314"/>
      <c r="F107" s="314"/>
      <c r="G107" s="427"/>
      <c r="H107" s="427"/>
      <c r="I107" s="427"/>
      <c r="J107" s="428"/>
      <c r="K107" s="428"/>
      <c r="L107" s="428"/>
      <c r="M107" s="291"/>
      <c r="N107" s="291"/>
      <c r="O107" s="431"/>
    </row>
    <row r="108" spans="2:15" ht="25" customHeight="1" x14ac:dyDescent="0.3">
      <c r="B108" s="426"/>
      <c r="C108" s="426"/>
      <c r="D108" s="314"/>
      <c r="E108" s="314"/>
      <c r="F108" s="314"/>
      <c r="G108" s="427"/>
      <c r="H108" s="427"/>
      <c r="I108" s="427"/>
      <c r="J108" s="428"/>
      <c r="K108" s="428"/>
      <c r="L108" s="428"/>
      <c r="M108" s="291"/>
      <c r="N108" s="291"/>
      <c r="O108" s="431"/>
    </row>
    <row r="109" spans="2:15" ht="25" customHeight="1" x14ac:dyDescent="0.3">
      <c r="B109" s="426"/>
      <c r="C109" s="426"/>
      <c r="D109" s="314"/>
      <c r="E109" s="314"/>
      <c r="F109" s="314"/>
      <c r="G109" s="427"/>
      <c r="H109" s="427"/>
      <c r="I109" s="427"/>
      <c r="J109" s="428"/>
      <c r="K109" s="428"/>
      <c r="L109" s="428"/>
      <c r="M109" s="291"/>
      <c r="N109" s="291"/>
      <c r="O109" s="431"/>
    </row>
    <row r="110" spans="2:15" ht="25" customHeight="1" x14ac:dyDescent="0.3">
      <c r="B110" s="426"/>
      <c r="C110" s="426"/>
      <c r="D110" s="314"/>
      <c r="E110" s="314"/>
      <c r="F110" s="314"/>
      <c r="G110" s="427"/>
      <c r="H110" s="427"/>
      <c r="I110" s="427"/>
      <c r="J110" s="428"/>
      <c r="K110" s="428"/>
      <c r="L110" s="428"/>
      <c r="M110" s="291"/>
      <c r="N110" s="291"/>
      <c r="O110" s="431"/>
    </row>
    <row r="111" spans="2:15" ht="25" customHeight="1" x14ac:dyDescent="0.3">
      <c r="B111" s="426"/>
      <c r="C111" s="426"/>
      <c r="D111" s="314"/>
      <c r="E111" s="314"/>
      <c r="F111" s="314"/>
      <c r="G111" s="427"/>
      <c r="H111" s="427"/>
      <c r="I111" s="427"/>
      <c r="J111" s="428"/>
      <c r="K111" s="428"/>
      <c r="L111" s="428"/>
      <c r="M111" s="291"/>
      <c r="N111" s="291"/>
      <c r="O111" s="431"/>
    </row>
    <row r="112" spans="2:15" ht="25" customHeight="1" x14ac:dyDescent="0.3">
      <c r="B112" s="426"/>
      <c r="C112" s="426"/>
      <c r="D112" s="314"/>
      <c r="E112" s="314"/>
      <c r="F112" s="314"/>
      <c r="G112" s="427"/>
      <c r="H112" s="427"/>
      <c r="I112" s="427"/>
      <c r="J112" s="428"/>
      <c r="K112" s="428"/>
      <c r="L112" s="428"/>
      <c r="M112" s="291"/>
      <c r="N112" s="291"/>
      <c r="O112" s="431"/>
    </row>
    <row r="113" spans="2:15" ht="25" customHeight="1" x14ac:dyDescent="0.3">
      <c r="B113" s="426"/>
      <c r="C113" s="426"/>
      <c r="D113" s="314"/>
      <c r="E113" s="314"/>
      <c r="F113" s="314"/>
      <c r="G113" s="427"/>
      <c r="H113" s="427"/>
      <c r="I113" s="427"/>
      <c r="J113" s="428"/>
      <c r="K113" s="428"/>
      <c r="L113" s="428"/>
      <c r="M113" s="291"/>
      <c r="N113" s="291"/>
      <c r="O113" s="431"/>
    </row>
    <row r="114" spans="2:15" ht="25" customHeight="1" x14ac:dyDescent="0.3">
      <c r="B114" s="426"/>
      <c r="C114" s="426"/>
      <c r="D114" s="314"/>
      <c r="E114" s="314"/>
      <c r="F114" s="314"/>
      <c r="G114" s="427"/>
      <c r="H114" s="427"/>
      <c r="I114" s="427"/>
      <c r="J114" s="428"/>
      <c r="K114" s="428"/>
      <c r="L114" s="428"/>
      <c r="M114" s="291"/>
      <c r="N114" s="291"/>
      <c r="O114" s="431"/>
    </row>
    <row r="115" spans="2:15" ht="25" customHeight="1" x14ac:dyDescent="0.3">
      <c r="B115" s="426"/>
      <c r="C115" s="426"/>
      <c r="D115" s="314"/>
      <c r="E115" s="314"/>
      <c r="F115" s="314"/>
      <c r="G115" s="427"/>
      <c r="H115" s="427"/>
      <c r="I115" s="427"/>
      <c r="J115" s="428"/>
      <c r="K115" s="428"/>
      <c r="L115" s="428"/>
      <c r="M115" s="291"/>
      <c r="N115" s="291"/>
      <c r="O115" s="431"/>
    </row>
    <row r="116" spans="2:15" ht="25" customHeight="1" x14ac:dyDescent="0.3">
      <c r="B116" s="426"/>
      <c r="C116" s="426"/>
      <c r="D116" s="314"/>
      <c r="E116" s="314"/>
      <c r="F116" s="314"/>
      <c r="G116" s="427"/>
      <c r="H116" s="427"/>
      <c r="I116" s="427"/>
      <c r="J116" s="428"/>
      <c r="K116" s="428"/>
      <c r="L116" s="428"/>
      <c r="M116" s="291"/>
      <c r="N116" s="291"/>
      <c r="O116" s="431"/>
    </row>
    <row r="117" spans="2:15" ht="25" customHeight="1" x14ac:dyDescent="0.3">
      <c r="B117" s="426"/>
      <c r="C117" s="426"/>
      <c r="D117" s="314"/>
      <c r="E117" s="314"/>
      <c r="F117" s="314"/>
      <c r="G117" s="427"/>
      <c r="H117" s="427"/>
      <c r="I117" s="427"/>
      <c r="J117" s="428"/>
      <c r="K117" s="428"/>
      <c r="L117" s="428"/>
      <c r="M117" s="291"/>
      <c r="N117" s="291"/>
      <c r="O117" s="431"/>
    </row>
    <row r="118" spans="2:15" ht="25" customHeight="1" x14ac:dyDescent="0.3">
      <c r="B118" s="426"/>
      <c r="C118" s="426"/>
      <c r="D118" s="314"/>
      <c r="E118" s="314"/>
      <c r="F118" s="314"/>
      <c r="G118" s="427"/>
      <c r="H118" s="427"/>
      <c r="I118" s="427"/>
      <c r="J118" s="428"/>
      <c r="K118" s="428"/>
      <c r="L118" s="428"/>
      <c r="M118" s="291"/>
      <c r="N118" s="291"/>
      <c r="O118" s="431"/>
    </row>
    <row r="119" spans="2:15" ht="25" customHeight="1" x14ac:dyDescent="0.3">
      <c r="B119" s="426"/>
      <c r="C119" s="426"/>
      <c r="D119" s="314"/>
      <c r="E119" s="314"/>
      <c r="F119" s="314"/>
      <c r="G119" s="427"/>
      <c r="H119" s="427"/>
      <c r="I119" s="427"/>
      <c r="J119" s="428"/>
      <c r="K119" s="428"/>
      <c r="L119" s="428"/>
      <c r="M119" s="291"/>
      <c r="N119" s="291"/>
      <c r="O119" s="431"/>
    </row>
    <row r="120" spans="2:15" ht="25" customHeight="1" x14ac:dyDescent="0.3">
      <c r="B120" s="426"/>
      <c r="C120" s="426"/>
      <c r="D120" s="314"/>
      <c r="E120" s="314"/>
      <c r="F120" s="314"/>
      <c r="G120" s="427"/>
      <c r="H120" s="427"/>
      <c r="I120" s="427"/>
      <c r="J120" s="428"/>
      <c r="K120" s="428"/>
      <c r="L120" s="428"/>
      <c r="M120" s="291"/>
      <c r="N120" s="291"/>
      <c r="O120" s="431"/>
    </row>
    <row r="121" spans="2:15" ht="25" customHeight="1" x14ac:dyDescent="0.3">
      <c r="B121" s="426"/>
      <c r="C121" s="426"/>
      <c r="D121" s="314"/>
      <c r="E121" s="314"/>
      <c r="F121" s="314"/>
      <c r="G121" s="427"/>
      <c r="H121" s="427"/>
      <c r="I121" s="427"/>
      <c r="J121" s="428"/>
      <c r="K121" s="428"/>
      <c r="L121" s="428"/>
      <c r="M121" s="291"/>
      <c r="N121" s="291"/>
      <c r="O121" s="431"/>
    </row>
    <row r="122" spans="2:15" ht="25" customHeight="1" x14ac:dyDescent="0.3">
      <c r="B122" s="426"/>
      <c r="C122" s="426"/>
      <c r="D122" s="314"/>
      <c r="E122" s="314"/>
      <c r="F122" s="314"/>
      <c r="G122" s="427"/>
      <c r="H122" s="427"/>
      <c r="I122" s="427"/>
      <c r="J122" s="428"/>
      <c r="K122" s="428"/>
      <c r="L122" s="428"/>
      <c r="M122" s="291"/>
      <c r="N122" s="291"/>
      <c r="O122" s="431"/>
    </row>
    <row r="123" spans="2:15" ht="25" customHeight="1" x14ac:dyDescent="0.3">
      <c r="B123" s="426"/>
      <c r="C123" s="426"/>
      <c r="D123" s="314"/>
      <c r="E123" s="314"/>
      <c r="F123" s="314"/>
      <c r="G123" s="427"/>
      <c r="H123" s="427"/>
      <c r="I123" s="427"/>
      <c r="J123" s="428"/>
      <c r="K123" s="428"/>
      <c r="L123" s="428"/>
      <c r="M123" s="291"/>
      <c r="N123" s="291"/>
      <c r="O123" s="431"/>
    </row>
    <row r="124" spans="2:15" ht="25" customHeight="1" x14ac:dyDescent="0.3">
      <c r="B124" s="426"/>
      <c r="C124" s="426"/>
      <c r="D124" s="314"/>
      <c r="E124" s="314"/>
      <c r="F124" s="314"/>
      <c r="G124" s="427"/>
      <c r="H124" s="427"/>
      <c r="I124" s="427"/>
      <c r="J124" s="428"/>
      <c r="K124" s="428"/>
      <c r="L124" s="428"/>
      <c r="M124" s="291"/>
      <c r="N124" s="291"/>
      <c r="O124" s="431"/>
    </row>
    <row r="125" spans="2:15" ht="25" customHeight="1" x14ac:dyDescent="0.3">
      <c r="B125" s="426"/>
      <c r="C125" s="426"/>
      <c r="D125" s="314"/>
      <c r="E125" s="314"/>
      <c r="F125" s="314"/>
      <c r="G125" s="427"/>
      <c r="H125" s="427"/>
      <c r="I125" s="427"/>
      <c r="J125" s="428"/>
      <c r="K125" s="428"/>
      <c r="L125" s="428"/>
      <c r="M125" s="291"/>
      <c r="N125" s="291"/>
      <c r="O125" s="431"/>
    </row>
    <row r="126" spans="2:15" ht="25" customHeight="1" x14ac:dyDescent="0.3">
      <c r="B126" s="426"/>
      <c r="C126" s="426"/>
      <c r="D126" s="314"/>
      <c r="E126" s="314"/>
      <c r="F126" s="314"/>
      <c r="G126" s="427"/>
      <c r="H126" s="427"/>
      <c r="I126" s="427"/>
      <c r="J126" s="428"/>
      <c r="K126" s="428"/>
      <c r="L126" s="428"/>
      <c r="M126" s="291"/>
      <c r="N126" s="291"/>
      <c r="O126" s="431"/>
    </row>
    <row r="127" spans="2:15" ht="25" customHeight="1" x14ac:dyDescent="0.3">
      <c r="B127" s="426"/>
      <c r="C127" s="426"/>
      <c r="D127" s="314"/>
      <c r="E127" s="314"/>
      <c r="F127" s="314"/>
      <c r="G127" s="427"/>
      <c r="H127" s="427"/>
      <c r="I127" s="427"/>
      <c r="J127" s="428"/>
      <c r="K127" s="428"/>
      <c r="L127" s="428"/>
      <c r="M127" s="291"/>
      <c r="N127" s="291"/>
      <c r="O127" s="431"/>
    </row>
    <row r="128" spans="2:15" ht="25" customHeight="1" x14ac:dyDescent="0.3">
      <c r="B128" s="426"/>
      <c r="C128" s="426"/>
      <c r="D128" s="314"/>
      <c r="E128" s="314"/>
      <c r="F128" s="314"/>
      <c r="G128" s="427"/>
      <c r="H128" s="427"/>
      <c r="I128" s="427"/>
      <c r="J128" s="428"/>
      <c r="K128" s="428"/>
      <c r="L128" s="428"/>
      <c r="M128" s="291"/>
      <c r="N128" s="291"/>
      <c r="O128" s="431"/>
    </row>
    <row r="129" spans="2:15" ht="25" customHeight="1" x14ac:dyDescent="0.3">
      <c r="B129" s="426"/>
      <c r="C129" s="426"/>
      <c r="D129" s="314"/>
      <c r="E129" s="314"/>
      <c r="F129" s="314"/>
      <c r="G129" s="427"/>
      <c r="H129" s="427"/>
      <c r="I129" s="427"/>
      <c r="J129" s="428"/>
      <c r="K129" s="428"/>
      <c r="L129" s="428"/>
      <c r="M129" s="291"/>
      <c r="N129" s="291"/>
      <c r="O129" s="431"/>
    </row>
    <row r="130" spans="2:15" ht="25" customHeight="1" x14ac:dyDescent="0.3">
      <c r="B130" s="426"/>
      <c r="C130" s="426"/>
      <c r="D130" s="314"/>
      <c r="E130" s="314"/>
      <c r="F130" s="314"/>
      <c r="G130" s="427"/>
      <c r="H130" s="427"/>
      <c r="I130" s="427"/>
      <c r="J130" s="428"/>
      <c r="K130" s="428"/>
      <c r="L130" s="428"/>
      <c r="M130" s="291"/>
      <c r="N130" s="291"/>
      <c r="O130" s="431"/>
    </row>
    <row r="131" spans="2:15" ht="25" customHeight="1" x14ac:dyDescent="0.3">
      <c r="B131" s="426"/>
      <c r="C131" s="426"/>
      <c r="D131" s="314"/>
      <c r="E131" s="314"/>
      <c r="F131" s="314"/>
      <c r="G131" s="427"/>
      <c r="H131" s="427"/>
      <c r="I131" s="427"/>
      <c r="J131" s="428"/>
      <c r="K131" s="428"/>
      <c r="L131" s="428"/>
      <c r="M131" s="291"/>
      <c r="N131" s="291"/>
      <c r="O131" s="431"/>
    </row>
    <row r="132" spans="2:15" ht="25" customHeight="1" x14ac:dyDescent="0.3">
      <c r="B132" s="426"/>
      <c r="C132" s="426"/>
      <c r="D132" s="314"/>
      <c r="E132" s="314"/>
      <c r="F132" s="314"/>
      <c r="G132" s="427"/>
      <c r="H132" s="427"/>
      <c r="I132" s="427"/>
      <c r="J132" s="428"/>
      <c r="K132" s="428"/>
      <c r="L132" s="428"/>
      <c r="M132" s="291"/>
      <c r="N132" s="291"/>
      <c r="O132" s="431"/>
    </row>
    <row r="133" spans="2:15" ht="25" customHeight="1" x14ac:dyDescent="0.3">
      <c r="B133" s="426"/>
      <c r="C133" s="426"/>
      <c r="D133" s="314"/>
      <c r="E133" s="314"/>
      <c r="F133" s="314"/>
      <c r="G133" s="427"/>
      <c r="H133" s="427"/>
      <c r="I133" s="427"/>
      <c r="J133" s="428"/>
      <c r="K133" s="428"/>
      <c r="L133" s="428"/>
      <c r="M133" s="291"/>
      <c r="N133" s="291"/>
      <c r="O133" s="431"/>
    </row>
    <row r="134" spans="2:15" ht="25" customHeight="1" x14ac:dyDescent="0.3">
      <c r="B134" s="426"/>
      <c r="C134" s="426"/>
      <c r="D134" s="314"/>
      <c r="E134" s="314"/>
      <c r="F134" s="314"/>
      <c r="G134" s="427"/>
      <c r="H134" s="427"/>
      <c r="I134" s="427"/>
      <c r="J134" s="428"/>
      <c r="K134" s="428"/>
      <c r="L134" s="428"/>
      <c r="M134" s="291"/>
      <c r="N134" s="291"/>
      <c r="O134" s="431"/>
    </row>
    <row r="135" spans="2:15" ht="25" customHeight="1" x14ac:dyDescent="0.3">
      <c r="B135" s="426"/>
      <c r="C135" s="426"/>
      <c r="D135" s="314"/>
      <c r="E135" s="314"/>
      <c r="F135" s="314"/>
      <c r="G135" s="427"/>
      <c r="H135" s="427"/>
      <c r="I135" s="427"/>
      <c r="J135" s="428"/>
      <c r="K135" s="428"/>
      <c r="L135" s="428"/>
      <c r="M135" s="291"/>
      <c r="N135" s="291"/>
      <c r="O135" s="431"/>
    </row>
    <row r="136" spans="2:15" ht="25" customHeight="1" x14ac:dyDescent="0.3">
      <c r="B136" s="426"/>
      <c r="C136" s="426"/>
      <c r="D136" s="314"/>
      <c r="E136" s="314"/>
      <c r="F136" s="314"/>
      <c r="G136" s="427"/>
      <c r="H136" s="427"/>
      <c r="I136" s="427"/>
      <c r="J136" s="428"/>
      <c r="K136" s="428"/>
      <c r="L136" s="428"/>
      <c r="M136" s="291"/>
      <c r="N136" s="291"/>
      <c r="O136" s="431"/>
    </row>
    <row r="137" spans="2:15" ht="25" customHeight="1" x14ac:dyDescent="0.3">
      <c r="B137" s="426"/>
      <c r="C137" s="426"/>
      <c r="D137" s="314"/>
      <c r="E137" s="314"/>
      <c r="F137" s="314"/>
      <c r="G137" s="427"/>
      <c r="H137" s="427"/>
      <c r="I137" s="427"/>
      <c r="J137" s="428"/>
      <c r="K137" s="428"/>
      <c r="L137" s="428"/>
      <c r="M137" s="291"/>
      <c r="N137" s="291"/>
      <c r="O137" s="431"/>
    </row>
    <row r="138" spans="2:15" ht="25" customHeight="1" x14ac:dyDescent="0.3">
      <c r="B138" s="426"/>
      <c r="C138" s="426"/>
      <c r="D138" s="314"/>
      <c r="E138" s="314"/>
      <c r="F138" s="314"/>
      <c r="G138" s="427"/>
      <c r="H138" s="427"/>
      <c r="I138" s="427"/>
      <c r="J138" s="428"/>
      <c r="K138" s="428"/>
      <c r="L138" s="428"/>
      <c r="M138" s="291"/>
      <c r="N138" s="291"/>
      <c r="O138" s="431"/>
    </row>
    <row r="139" spans="2:15" ht="25" customHeight="1" x14ac:dyDescent="0.3">
      <c r="B139" s="426"/>
      <c r="C139" s="426"/>
      <c r="D139" s="314"/>
      <c r="E139" s="314"/>
      <c r="F139" s="314"/>
      <c r="G139" s="427"/>
      <c r="H139" s="427"/>
      <c r="I139" s="427"/>
      <c r="J139" s="428"/>
      <c r="K139" s="428"/>
      <c r="L139" s="428"/>
      <c r="M139" s="291"/>
      <c r="N139" s="291"/>
      <c r="O139" s="431"/>
    </row>
    <row r="140" spans="2:15" ht="25" customHeight="1" x14ac:dyDescent="0.3">
      <c r="B140" s="426"/>
      <c r="C140" s="426"/>
      <c r="D140" s="314"/>
      <c r="E140" s="314"/>
      <c r="F140" s="314"/>
      <c r="G140" s="427"/>
      <c r="H140" s="427"/>
      <c r="I140" s="427"/>
      <c r="J140" s="428"/>
      <c r="K140" s="428"/>
      <c r="L140" s="428"/>
      <c r="M140" s="291"/>
      <c r="N140" s="291"/>
      <c r="O140" s="431"/>
    </row>
    <row r="141" spans="2:15" ht="25" customHeight="1" x14ac:dyDescent="0.3">
      <c r="B141" s="426"/>
      <c r="C141" s="426"/>
      <c r="D141" s="314"/>
      <c r="E141" s="314"/>
      <c r="F141" s="314"/>
      <c r="G141" s="427"/>
      <c r="H141" s="427"/>
      <c r="I141" s="427"/>
      <c r="J141" s="428"/>
      <c r="K141" s="428"/>
      <c r="L141" s="428"/>
      <c r="M141" s="291"/>
      <c r="N141" s="291"/>
      <c r="O141" s="431"/>
    </row>
    <row r="142" spans="2:15" ht="25" customHeight="1" x14ac:dyDescent="0.3">
      <c r="B142" s="426"/>
      <c r="C142" s="426"/>
      <c r="D142" s="314"/>
      <c r="E142" s="314"/>
      <c r="F142" s="314"/>
      <c r="G142" s="427"/>
      <c r="H142" s="427"/>
      <c r="I142" s="427"/>
      <c r="J142" s="428"/>
      <c r="K142" s="428"/>
      <c r="L142" s="428"/>
      <c r="M142" s="291"/>
      <c r="N142" s="291"/>
      <c r="O142" s="431"/>
    </row>
    <row r="143" spans="2:15" ht="25" customHeight="1" x14ac:dyDescent="0.3">
      <c r="B143" s="426"/>
      <c r="C143" s="426"/>
      <c r="D143" s="314"/>
      <c r="E143" s="314"/>
      <c r="F143" s="314"/>
      <c r="G143" s="427"/>
      <c r="H143" s="427"/>
      <c r="I143" s="427"/>
      <c r="J143" s="428"/>
      <c r="K143" s="428"/>
      <c r="L143" s="428"/>
      <c r="M143" s="291"/>
      <c r="N143" s="291"/>
      <c r="O143" s="431"/>
    </row>
    <row r="144" spans="2:15" ht="25" customHeight="1" x14ac:dyDescent="0.3">
      <c r="B144" s="426"/>
      <c r="C144" s="426"/>
      <c r="D144" s="314"/>
      <c r="E144" s="314"/>
      <c r="F144" s="314"/>
      <c r="G144" s="427"/>
      <c r="H144" s="427"/>
      <c r="I144" s="427"/>
      <c r="J144" s="428"/>
      <c r="K144" s="428"/>
      <c r="L144" s="428"/>
      <c r="M144" s="291"/>
      <c r="N144" s="291"/>
      <c r="O144" s="431"/>
    </row>
    <row r="145" spans="2:15" ht="25" customHeight="1" x14ac:dyDescent="0.3">
      <c r="B145" s="426"/>
      <c r="C145" s="426"/>
      <c r="D145" s="314"/>
      <c r="E145" s="314"/>
      <c r="F145" s="314"/>
      <c r="G145" s="427"/>
      <c r="H145" s="427"/>
      <c r="I145" s="427"/>
      <c r="J145" s="428"/>
      <c r="K145" s="428"/>
      <c r="L145" s="428"/>
      <c r="M145" s="291"/>
      <c r="N145" s="291"/>
      <c r="O145" s="431"/>
    </row>
    <row r="146" spans="2:15" ht="25" customHeight="1" x14ac:dyDescent="0.3">
      <c r="B146" s="426"/>
      <c r="C146" s="426"/>
      <c r="D146" s="314"/>
      <c r="E146" s="314"/>
      <c r="F146" s="314"/>
      <c r="G146" s="427"/>
      <c r="H146" s="427"/>
      <c r="I146" s="427"/>
      <c r="J146" s="428"/>
      <c r="K146" s="428"/>
      <c r="L146" s="428"/>
      <c r="M146" s="291"/>
      <c r="N146" s="291"/>
      <c r="O146" s="431"/>
    </row>
    <row r="147" spans="2:15" ht="25" customHeight="1" x14ac:dyDescent="0.3">
      <c r="B147" s="426"/>
      <c r="C147" s="426"/>
      <c r="D147" s="314"/>
      <c r="E147" s="314"/>
      <c r="F147" s="314"/>
      <c r="G147" s="427"/>
      <c r="H147" s="427"/>
      <c r="I147" s="427"/>
      <c r="J147" s="428"/>
      <c r="K147" s="428"/>
      <c r="L147" s="428"/>
      <c r="M147" s="291"/>
      <c r="N147" s="291"/>
      <c r="O147" s="431"/>
    </row>
    <row r="148" spans="2:15" ht="25" customHeight="1" x14ac:dyDescent="0.3">
      <c r="B148" s="426"/>
      <c r="C148" s="426"/>
      <c r="D148" s="314"/>
      <c r="E148" s="314"/>
      <c r="F148" s="314"/>
      <c r="G148" s="427"/>
      <c r="H148" s="427"/>
      <c r="I148" s="427"/>
      <c r="J148" s="428"/>
      <c r="K148" s="428"/>
      <c r="L148" s="428"/>
      <c r="M148" s="291"/>
      <c r="N148" s="291"/>
      <c r="O148" s="431"/>
    </row>
    <row r="149" spans="2:15" ht="25" customHeight="1" x14ac:dyDescent="0.3">
      <c r="B149" s="426"/>
      <c r="C149" s="426"/>
      <c r="D149" s="314"/>
      <c r="E149" s="314"/>
      <c r="F149" s="314"/>
      <c r="G149" s="427"/>
      <c r="H149" s="427"/>
      <c r="I149" s="427"/>
      <c r="J149" s="428"/>
      <c r="K149" s="428"/>
      <c r="L149" s="428"/>
      <c r="M149" s="291"/>
      <c r="N149" s="291"/>
      <c r="O149" s="431"/>
    </row>
    <row r="150" spans="2:15" ht="25" customHeight="1" x14ac:dyDescent="0.3">
      <c r="B150" s="426"/>
      <c r="C150" s="426"/>
      <c r="D150" s="314"/>
      <c r="E150" s="314"/>
      <c r="F150" s="314"/>
      <c r="G150" s="427"/>
      <c r="H150" s="427"/>
      <c r="I150" s="427"/>
      <c r="J150" s="428"/>
      <c r="K150" s="428"/>
      <c r="L150" s="428"/>
      <c r="M150" s="291"/>
      <c r="N150" s="291"/>
      <c r="O150" s="431"/>
    </row>
    <row r="151" spans="2:15" ht="25" customHeight="1" x14ac:dyDescent="0.3">
      <c r="B151" s="426"/>
      <c r="C151" s="426"/>
      <c r="D151" s="314"/>
      <c r="E151" s="314"/>
      <c r="F151" s="314"/>
      <c r="G151" s="427"/>
      <c r="H151" s="427"/>
      <c r="I151" s="427"/>
      <c r="J151" s="428"/>
      <c r="K151" s="428"/>
      <c r="L151" s="428"/>
      <c r="M151" s="291"/>
      <c r="N151" s="291"/>
      <c r="O151" s="431"/>
    </row>
    <row r="152" spans="2:15" ht="25" customHeight="1" x14ac:dyDescent="0.3">
      <c r="B152" s="426"/>
      <c r="C152" s="426"/>
      <c r="D152" s="314"/>
      <c r="E152" s="314"/>
      <c r="F152" s="314"/>
      <c r="G152" s="427"/>
      <c r="H152" s="427"/>
      <c r="I152" s="427"/>
      <c r="J152" s="428"/>
      <c r="K152" s="428"/>
      <c r="L152" s="428"/>
      <c r="M152" s="291"/>
      <c r="N152" s="291"/>
      <c r="O152" s="431"/>
    </row>
    <row r="153" spans="2:15" ht="25" customHeight="1" x14ac:dyDescent="0.3">
      <c r="B153" s="426"/>
      <c r="C153" s="426"/>
      <c r="D153" s="314"/>
      <c r="E153" s="314"/>
      <c r="F153" s="314"/>
      <c r="G153" s="427"/>
      <c r="H153" s="427"/>
      <c r="I153" s="427"/>
      <c r="J153" s="428"/>
      <c r="K153" s="428"/>
      <c r="L153" s="428"/>
      <c r="M153" s="291"/>
      <c r="N153" s="291"/>
      <c r="O153" s="431"/>
    </row>
    <row r="154" spans="2:15" ht="25" customHeight="1" x14ac:dyDescent="0.3">
      <c r="B154" s="426"/>
      <c r="C154" s="426"/>
      <c r="D154" s="314"/>
      <c r="E154" s="314"/>
      <c r="F154" s="314"/>
      <c r="G154" s="427"/>
      <c r="H154" s="427"/>
      <c r="I154" s="427"/>
      <c r="J154" s="428"/>
      <c r="K154" s="428"/>
      <c r="L154" s="428"/>
      <c r="M154" s="291"/>
      <c r="N154" s="291"/>
      <c r="O154" s="431"/>
    </row>
    <row r="155" spans="2:15" ht="25" customHeight="1" x14ac:dyDescent="0.3">
      <c r="B155" s="426"/>
      <c r="C155" s="426"/>
      <c r="D155" s="314"/>
      <c r="E155" s="314"/>
      <c r="F155" s="314"/>
      <c r="G155" s="427"/>
      <c r="H155" s="427"/>
      <c r="I155" s="427"/>
      <c r="J155" s="428"/>
      <c r="K155" s="428"/>
      <c r="L155" s="428"/>
      <c r="M155" s="291"/>
      <c r="N155" s="291"/>
      <c r="O155" s="431"/>
    </row>
    <row r="156" spans="2:15" ht="25" customHeight="1" x14ac:dyDescent="0.3">
      <c r="B156" s="426"/>
      <c r="C156" s="426"/>
      <c r="D156" s="314"/>
      <c r="E156" s="314"/>
      <c r="F156" s="314"/>
      <c r="G156" s="427"/>
      <c r="H156" s="427"/>
      <c r="I156" s="427"/>
      <c r="J156" s="428"/>
      <c r="K156" s="428"/>
      <c r="L156" s="428"/>
      <c r="M156" s="291"/>
      <c r="N156" s="291"/>
      <c r="O156" s="431"/>
    </row>
    <row r="157" spans="2:15" ht="25" customHeight="1" x14ac:dyDescent="0.3">
      <c r="B157" s="426"/>
      <c r="C157" s="426"/>
      <c r="D157" s="314"/>
      <c r="E157" s="314"/>
      <c r="F157" s="314"/>
      <c r="G157" s="427"/>
      <c r="H157" s="427"/>
      <c r="I157" s="427"/>
      <c r="J157" s="428"/>
      <c r="K157" s="428"/>
      <c r="L157" s="428"/>
      <c r="M157" s="291"/>
      <c r="N157" s="291"/>
      <c r="O157" s="431"/>
    </row>
    <row r="158" spans="2:15" ht="25" customHeight="1" x14ac:dyDescent="0.3">
      <c r="B158" s="426"/>
      <c r="C158" s="426"/>
      <c r="D158" s="314"/>
      <c r="E158" s="314"/>
      <c r="F158" s="314"/>
      <c r="G158" s="427"/>
      <c r="H158" s="427"/>
      <c r="I158" s="427"/>
      <c r="J158" s="428"/>
      <c r="K158" s="428"/>
      <c r="L158" s="428"/>
      <c r="M158" s="291"/>
      <c r="N158" s="291"/>
      <c r="O158" s="431"/>
    </row>
    <row r="159" spans="2:15" ht="25" customHeight="1" x14ac:dyDescent="0.3">
      <c r="B159" s="426"/>
      <c r="C159" s="426"/>
      <c r="D159" s="314"/>
      <c r="E159" s="314"/>
      <c r="F159" s="314"/>
      <c r="G159" s="427"/>
      <c r="H159" s="427"/>
      <c r="I159" s="427"/>
      <c r="J159" s="428"/>
      <c r="K159" s="428"/>
      <c r="L159" s="428"/>
      <c r="M159" s="291"/>
      <c r="N159" s="291"/>
      <c r="O159" s="431"/>
    </row>
    <row r="160" spans="2:15" ht="25" customHeight="1" x14ac:dyDescent="0.3">
      <c r="B160" s="426"/>
      <c r="C160" s="426"/>
      <c r="D160" s="314"/>
      <c r="E160" s="314"/>
      <c r="F160" s="314"/>
      <c r="G160" s="427"/>
      <c r="H160" s="427"/>
      <c r="I160" s="427"/>
      <c r="J160" s="428"/>
      <c r="K160" s="428"/>
      <c r="L160" s="428"/>
      <c r="M160" s="291"/>
      <c r="N160" s="291"/>
      <c r="O160" s="431"/>
    </row>
    <row r="161" spans="2:15" ht="25" customHeight="1" x14ac:dyDescent="0.3">
      <c r="B161" s="426"/>
      <c r="C161" s="426"/>
      <c r="D161" s="314"/>
      <c r="E161" s="314"/>
      <c r="F161" s="314"/>
      <c r="G161" s="427"/>
      <c r="H161" s="427"/>
      <c r="I161" s="427"/>
      <c r="J161" s="428"/>
      <c r="K161" s="428"/>
      <c r="L161" s="428"/>
      <c r="M161" s="291"/>
      <c r="N161" s="291"/>
      <c r="O161" s="431"/>
    </row>
    <row r="162" spans="2:15" ht="25" customHeight="1" x14ac:dyDescent="0.3">
      <c r="B162" s="426"/>
      <c r="C162" s="426"/>
      <c r="D162" s="314"/>
      <c r="E162" s="314"/>
      <c r="F162" s="314"/>
      <c r="G162" s="427"/>
      <c r="H162" s="427"/>
      <c r="I162" s="427"/>
      <c r="J162" s="428"/>
      <c r="K162" s="428"/>
      <c r="L162" s="428"/>
      <c r="M162" s="291"/>
      <c r="N162" s="291"/>
      <c r="O162" s="431"/>
    </row>
    <row r="163" spans="2:15" ht="25" customHeight="1" x14ac:dyDescent="0.3">
      <c r="B163" s="426"/>
      <c r="C163" s="426"/>
      <c r="D163" s="314"/>
      <c r="E163" s="314"/>
      <c r="F163" s="314"/>
      <c r="G163" s="427"/>
      <c r="H163" s="427"/>
      <c r="I163" s="427"/>
      <c r="J163" s="428"/>
      <c r="K163" s="428"/>
      <c r="L163" s="428"/>
      <c r="M163" s="291"/>
      <c r="N163" s="291"/>
      <c r="O163" s="431"/>
    </row>
    <row r="164" spans="2:15" ht="25" customHeight="1" x14ac:dyDescent="0.3">
      <c r="B164" s="426"/>
      <c r="C164" s="426"/>
      <c r="D164" s="314"/>
      <c r="E164" s="314"/>
      <c r="F164" s="314"/>
      <c r="G164" s="427"/>
      <c r="H164" s="427"/>
      <c r="I164" s="427"/>
      <c r="J164" s="428"/>
      <c r="K164" s="428"/>
      <c r="L164" s="428"/>
      <c r="M164" s="291"/>
      <c r="N164" s="291"/>
      <c r="O164" s="431"/>
    </row>
    <row r="165" spans="2:15" ht="25" customHeight="1" x14ac:dyDescent="0.3">
      <c r="B165" s="426"/>
      <c r="C165" s="426"/>
      <c r="D165" s="314"/>
      <c r="E165" s="314"/>
      <c r="F165" s="314"/>
      <c r="G165" s="427"/>
      <c r="H165" s="427"/>
      <c r="I165" s="427"/>
      <c r="J165" s="428"/>
      <c r="K165" s="428"/>
      <c r="L165" s="428"/>
      <c r="M165" s="291"/>
      <c r="N165" s="291"/>
      <c r="O165" s="431"/>
    </row>
    <row r="166" spans="2:15" ht="25" customHeight="1" x14ac:dyDescent="0.3">
      <c r="B166" s="426"/>
      <c r="C166" s="426"/>
      <c r="D166" s="314"/>
      <c r="E166" s="314"/>
      <c r="F166" s="314"/>
      <c r="G166" s="427"/>
      <c r="H166" s="427"/>
      <c r="I166" s="427"/>
      <c r="J166" s="428"/>
      <c r="K166" s="428"/>
      <c r="L166" s="428"/>
      <c r="M166" s="291"/>
      <c r="N166" s="291"/>
      <c r="O166" s="431"/>
    </row>
    <row r="167" spans="2:15" ht="25" customHeight="1" x14ac:dyDescent="0.3">
      <c r="B167" s="426"/>
      <c r="C167" s="426"/>
      <c r="D167" s="314"/>
      <c r="E167" s="314"/>
      <c r="F167" s="314"/>
      <c r="G167" s="427"/>
      <c r="H167" s="427"/>
      <c r="I167" s="427"/>
      <c r="J167" s="428"/>
      <c r="K167" s="428"/>
      <c r="L167" s="428"/>
      <c r="M167" s="291"/>
      <c r="N167" s="291"/>
      <c r="O167" s="431"/>
    </row>
    <row r="168" spans="2:15" ht="25" customHeight="1" x14ac:dyDescent="0.3">
      <c r="B168" s="426"/>
      <c r="C168" s="426"/>
      <c r="D168" s="314"/>
      <c r="E168" s="314"/>
      <c r="F168" s="314"/>
      <c r="G168" s="427"/>
      <c r="H168" s="427"/>
      <c r="I168" s="427"/>
      <c r="J168" s="428"/>
      <c r="K168" s="428"/>
      <c r="L168" s="428"/>
      <c r="M168" s="291"/>
      <c r="N168" s="291"/>
      <c r="O168" s="431"/>
    </row>
    <row r="169" spans="2:15" ht="25" customHeight="1" x14ac:dyDescent="0.3">
      <c r="B169" s="426"/>
      <c r="C169" s="426"/>
      <c r="D169" s="314"/>
      <c r="E169" s="314"/>
      <c r="F169" s="314"/>
      <c r="G169" s="427"/>
      <c r="H169" s="427"/>
      <c r="I169" s="427"/>
      <c r="J169" s="428"/>
      <c r="K169" s="428"/>
      <c r="L169" s="428"/>
      <c r="M169" s="291"/>
      <c r="N169" s="291"/>
      <c r="O169" s="431"/>
    </row>
    <row r="170" spans="2:15" ht="25" customHeight="1" x14ac:dyDescent="0.3">
      <c r="B170" s="426"/>
      <c r="C170" s="426"/>
      <c r="D170" s="314"/>
      <c r="E170" s="314"/>
      <c r="F170" s="314"/>
      <c r="G170" s="427"/>
      <c r="H170" s="427"/>
      <c r="I170" s="427"/>
      <c r="J170" s="428"/>
      <c r="K170" s="428"/>
      <c r="L170" s="428"/>
      <c r="M170" s="291"/>
      <c r="N170" s="291"/>
      <c r="O170" s="431"/>
    </row>
    <row r="171" spans="2:15" ht="25" customHeight="1" x14ac:dyDescent="0.3">
      <c r="B171" s="426"/>
      <c r="C171" s="426"/>
      <c r="D171" s="314"/>
      <c r="E171" s="314"/>
      <c r="F171" s="314"/>
      <c r="G171" s="427"/>
      <c r="H171" s="427"/>
      <c r="I171" s="427"/>
      <c r="J171" s="428"/>
      <c r="K171" s="428"/>
      <c r="L171" s="428"/>
      <c r="M171" s="291"/>
      <c r="N171" s="291"/>
      <c r="O171" s="431"/>
    </row>
    <row r="172" spans="2:15" ht="25" customHeight="1" x14ac:dyDescent="0.3">
      <c r="B172" s="426"/>
      <c r="C172" s="426"/>
      <c r="D172" s="314"/>
      <c r="E172" s="314"/>
      <c r="F172" s="314"/>
      <c r="G172" s="427"/>
      <c r="H172" s="427"/>
      <c r="I172" s="427"/>
      <c r="J172" s="428"/>
      <c r="K172" s="428"/>
      <c r="L172" s="428"/>
      <c r="M172" s="291"/>
      <c r="N172" s="291"/>
      <c r="O172" s="431"/>
    </row>
    <row r="173" spans="2:15" ht="25" customHeight="1" x14ac:dyDescent="0.3">
      <c r="B173" s="426"/>
      <c r="C173" s="426"/>
      <c r="D173" s="314"/>
      <c r="E173" s="314"/>
      <c r="F173" s="314"/>
      <c r="G173" s="427"/>
      <c r="H173" s="427"/>
      <c r="I173" s="427"/>
      <c r="J173" s="428"/>
      <c r="K173" s="428"/>
      <c r="L173" s="428"/>
      <c r="M173" s="291"/>
      <c r="N173" s="291"/>
      <c r="O173" s="431"/>
    </row>
    <row r="174" spans="2:15" ht="25" customHeight="1" x14ac:dyDescent="0.3">
      <c r="B174" s="426"/>
      <c r="C174" s="426"/>
      <c r="D174" s="314"/>
      <c r="E174" s="314"/>
      <c r="F174" s="314"/>
      <c r="G174" s="427"/>
      <c r="H174" s="427"/>
      <c r="I174" s="427"/>
      <c r="J174" s="428"/>
      <c r="K174" s="428"/>
      <c r="L174" s="428"/>
      <c r="M174" s="291"/>
      <c r="N174" s="291"/>
      <c r="O174" s="431"/>
    </row>
    <row r="175" spans="2:15" ht="25" customHeight="1" x14ac:dyDescent="0.3">
      <c r="B175" s="426"/>
      <c r="C175" s="426"/>
      <c r="D175" s="314"/>
      <c r="E175" s="314"/>
      <c r="F175" s="314"/>
      <c r="G175" s="427"/>
      <c r="H175" s="427"/>
      <c r="I175" s="427"/>
      <c r="J175" s="428"/>
      <c r="K175" s="428"/>
      <c r="L175" s="428"/>
      <c r="M175" s="291"/>
      <c r="N175" s="291"/>
      <c r="O175" s="431"/>
    </row>
    <row r="176" spans="2:15" ht="25" customHeight="1" x14ac:dyDescent="0.3">
      <c r="B176" s="426"/>
      <c r="C176" s="426"/>
      <c r="D176" s="314"/>
      <c r="E176" s="314"/>
      <c r="F176" s="314"/>
      <c r="G176" s="427"/>
      <c r="H176" s="427"/>
      <c r="I176" s="427"/>
      <c r="J176" s="428"/>
      <c r="K176" s="428"/>
      <c r="L176" s="428"/>
      <c r="M176" s="291"/>
      <c r="N176" s="291"/>
      <c r="O176" s="431"/>
    </row>
    <row r="177" spans="2:15" ht="25" customHeight="1" x14ac:dyDescent="0.3">
      <c r="B177" s="426"/>
      <c r="C177" s="426"/>
      <c r="D177" s="314"/>
      <c r="E177" s="314"/>
      <c r="F177" s="314"/>
      <c r="G177" s="427"/>
      <c r="H177" s="427"/>
      <c r="I177" s="427"/>
      <c r="J177" s="428"/>
      <c r="K177" s="428"/>
      <c r="L177" s="428"/>
      <c r="M177" s="291"/>
      <c r="N177" s="291"/>
      <c r="O177" s="431"/>
    </row>
    <row r="178" spans="2:15" ht="25" customHeight="1" x14ac:dyDescent="0.3">
      <c r="B178" s="426"/>
      <c r="C178" s="426"/>
      <c r="D178" s="314"/>
      <c r="E178" s="314"/>
      <c r="F178" s="314"/>
      <c r="G178" s="427"/>
      <c r="H178" s="427"/>
      <c r="I178" s="427"/>
      <c r="J178" s="428"/>
      <c r="K178" s="428"/>
      <c r="L178" s="428"/>
      <c r="M178" s="291"/>
      <c r="N178" s="291"/>
      <c r="O178" s="431"/>
    </row>
    <row r="179" spans="2:15" ht="25" customHeight="1" x14ac:dyDescent="0.3">
      <c r="B179" s="426"/>
      <c r="C179" s="426"/>
      <c r="D179" s="314"/>
      <c r="E179" s="314"/>
      <c r="F179" s="314"/>
      <c r="G179" s="427"/>
      <c r="H179" s="427"/>
      <c r="I179" s="427"/>
      <c r="J179" s="428"/>
      <c r="K179" s="428"/>
      <c r="L179" s="428"/>
      <c r="M179" s="291"/>
      <c r="N179" s="291"/>
      <c r="O179" s="431"/>
    </row>
    <row r="180" spans="2:15" ht="25" customHeight="1" x14ac:dyDescent="0.3">
      <c r="B180" s="426"/>
      <c r="C180" s="426"/>
      <c r="D180" s="314"/>
      <c r="E180" s="314"/>
      <c r="F180" s="314"/>
      <c r="G180" s="427"/>
      <c r="H180" s="427"/>
      <c r="I180" s="427"/>
      <c r="J180" s="428"/>
      <c r="K180" s="428"/>
      <c r="L180" s="428"/>
      <c r="M180" s="291"/>
      <c r="N180" s="291"/>
      <c r="O180" s="431"/>
    </row>
    <row r="181" spans="2:15" ht="25" customHeight="1" x14ac:dyDescent="0.3">
      <c r="B181" s="426"/>
      <c r="C181" s="426"/>
      <c r="D181" s="314"/>
      <c r="E181" s="314"/>
      <c r="F181" s="314"/>
      <c r="G181" s="427"/>
      <c r="H181" s="427"/>
      <c r="I181" s="427"/>
      <c r="J181" s="428"/>
      <c r="K181" s="428"/>
      <c r="L181" s="428"/>
      <c r="M181" s="291"/>
      <c r="N181" s="291"/>
      <c r="O181" s="431"/>
    </row>
    <row r="182" spans="2:15" ht="25" customHeight="1" x14ac:dyDescent="0.3">
      <c r="B182" s="426"/>
      <c r="C182" s="426"/>
      <c r="D182" s="314"/>
      <c r="E182" s="314"/>
      <c r="F182" s="314"/>
      <c r="G182" s="427"/>
      <c r="H182" s="427"/>
      <c r="I182" s="427"/>
      <c r="J182" s="428"/>
      <c r="K182" s="428"/>
      <c r="L182" s="428"/>
      <c r="M182" s="291"/>
      <c r="N182" s="291"/>
      <c r="O182" s="431"/>
    </row>
    <row r="183" spans="2:15" ht="25" customHeight="1" x14ac:dyDescent="0.3">
      <c r="B183" s="426"/>
      <c r="C183" s="426"/>
      <c r="D183" s="314"/>
      <c r="E183" s="314"/>
      <c r="F183" s="314"/>
      <c r="G183" s="427"/>
      <c r="H183" s="427"/>
      <c r="I183" s="427"/>
      <c r="J183" s="428"/>
      <c r="K183" s="428"/>
      <c r="L183" s="428"/>
      <c r="M183" s="291"/>
      <c r="N183" s="291"/>
      <c r="O183" s="431"/>
    </row>
    <row r="184" spans="2:15" ht="25" customHeight="1" x14ac:dyDescent="0.3">
      <c r="B184" s="426"/>
      <c r="C184" s="426"/>
      <c r="D184" s="314"/>
      <c r="E184" s="314"/>
      <c r="F184" s="314"/>
      <c r="G184" s="427"/>
      <c r="H184" s="427"/>
      <c r="I184" s="427"/>
      <c r="J184" s="428"/>
      <c r="K184" s="428"/>
      <c r="L184" s="428"/>
      <c r="M184" s="291"/>
      <c r="N184" s="291"/>
      <c r="O184" s="431"/>
    </row>
    <row r="185" spans="2:15" ht="25" customHeight="1" x14ac:dyDescent="0.3">
      <c r="B185" s="426"/>
      <c r="C185" s="426"/>
      <c r="D185" s="314"/>
      <c r="E185" s="314"/>
      <c r="F185" s="314"/>
      <c r="G185" s="427"/>
      <c r="H185" s="427"/>
      <c r="I185" s="427"/>
      <c r="J185" s="428"/>
      <c r="K185" s="428"/>
      <c r="L185" s="428"/>
      <c r="M185" s="291"/>
      <c r="N185" s="291"/>
      <c r="O185" s="431"/>
    </row>
    <row r="186" spans="2:15" ht="25" customHeight="1" x14ac:dyDescent="0.3">
      <c r="B186" s="426"/>
      <c r="C186" s="426"/>
      <c r="D186" s="314"/>
      <c r="E186" s="314"/>
      <c r="F186" s="314"/>
      <c r="G186" s="427"/>
      <c r="H186" s="427"/>
      <c r="I186" s="427"/>
      <c r="J186" s="428"/>
      <c r="K186" s="428"/>
      <c r="L186" s="428"/>
      <c r="M186" s="291"/>
      <c r="N186" s="291"/>
      <c r="O186" s="431"/>
    </row>
    <row r="187" spans="2:15" ht="25" customHeight="1" x14ac:dyDescent="0.3">
      <c r="B187" s="426"/>
      <c r="C187" s="426"/>
      <c r="D187" s="314"/>
      <c r="E187" s="314"/>
      <c r="F187" s="314"/>
      <c r="G187" s="427"/>
      <c r="H187" s="427"/>
      <c r="I187" s="427"/>
      <c r="J187" s="428"/>
      <c r="K187" s="428"/>
      <c r="L187" s="428"/>
      <c r="M187" s="291"/>
      <c r="N187" s="291"/>
      <c r="O187" s="431"/>
    </row>
    <row r="188" spans="2:15" ht="25" customHeight="1" x14ac:dyDescent="0.3">
      <c r="B188" s="426"/>
      <c r="C188" s="426"/>
      <c r="D188" s="314"/>
      <c r="E188" s="314"/>
      <c r="F188" s="314"/>
      <c r="G188" s="427"/>
      <c r="H188" s="427"/>
      <c r="I188" s="427"/>
      <c r="J188" s="428"/>
      <c r="K188" s="428"/>
      <c r="L188" s="428"/>
      <c r="M188" s="291"/>
      <c r="N188" s="291"/>
      <c r="O188" s="431"/>
    </row>
    <row r="189" spans="2:15" ht="25" customHeight="1" x14ac:dyDescent="0.3">
      <c r="B189" s="426"/>
      <c r="C189" s="426"/>
      <c r="D189" s="314"/>
      <c r="E189" s="314"/>
      <c r="F189" s="314"/>
      <c r="G189" s="427"/>
      <c r="H189" s="427"/>
      <c r="I189" s="427"/>
      <c r="J189" s="428"/>
      <c r="K189" s="428"/>
      <c r="L189" s="428"/>
      <c r="M189" s="291"/>
      <c r="N189" s="291"/>
      <c r="O189" s="431"/>
    </row>
    <row r="190" spans="2:15" ht="25" customHeight="1" x14ac:dyDescent="0.3">
      <c r="B190" s="426"/>
      <c r="C190" s="426"/>
      <c r="D190" s="314"/>
      <c r="E190" s="314"/>
      <c r="F190" s="314"/>
      <c r="G190" s="427"/>
      <c r="H190" s="427"/>
      <c r="I190" s="427"/>
      <c r="J190" s="428"/>
      <c r="K190" s="428"/>
      <c r="L190" s="428"/>
      <c r="M190" s="291"/>
      <c r="N190" s="291"/>
      <c r="O190" s="431"/>
    </row>
    <row r="191" spans="2:15" ht="25" customHeight="1" x14ac:dyDescent="0.3">
      <c r="B191" s="426"/>
      <c r="C191" s="426"/>
      <c r="D191" s="314"/>
      <c r="E191" s="314"/>
      <c r="F191" s="314"/>
      <c r="G191" s="427"/>
      <c r="H191" s="427"/>
      <c r="I191" s="427"/>
      <c r="J191" s="428"/>
      <c r="K191" s="428"/>
      <c r="L191" s="428"/>
      <c r="M191" s="291"/>
      <c r="N191" s="291"/>
      <c r="O191" s="431"/>
    </row>
    <row r="192" spans="2:15" ht="25" customHeight="1" x14ac:dyDescent="0.3">
      <c r="B192" s="426"/>
      <c r="C192" s="426"/>
      <c r="D192" s="314"/>
      <c r="E192" s="314"/>
      <c r="F192" s="314"/>
      <c r="G192" s="427"/>
      <c r="H192" s="427"/>
      <c r="I192" s="427"/>
      <c r="J192" s="428"/>
      <c r="K192" s="428"/>
      <c r="L192" s="428"/>
      <c r="M192" s="291"/>
      <c r="N192" s="291"/>
      <c r="O192" s="431"/>
    </row>
    <row r="193" spans="2:15" ht="25" customHeight="1" x14ac:dyDescent="0.3">
      <c r="B193" s="426"/>
      <c r="C193" s="426"/>
      <c r="D193" s="314"/>
      <c r="E193" s="314"/>
      <c r="F193" s="314"/>
      <c r="G193" s="427"/>
      <c r="H193" s="427"/>
      <c r="I193" s="427"/>
      <c r="J193" s="428"/>
      <c r="K193" s="428"/>
      <c r="L193" s="428"/>
      <c r="M193" s="291"/>
      <c r="N193" s="291"/>
      <c r="O193" s="431"/>
    </row>
    <row r="194" spans="2:15" ht="25" customHeight="1" x14ac:dyDescent="0.3">
      <c r="B194" s="426"/>
      <c r="C194" s="426"/>
      <c r="D194" s="314"/>
      <c r="E194" s="314"/>
      <c r="F194" s="314"/>
      <c r="G194" s="427"/>
      <c r="H194" s="427"/>
      <c r="I194" s="427"/>
      <c r="J194" s="428"/>
      <c r="K194" s="428"/>
      <c r="L194" s="428"/>
      <c r="M194" s="291"/>
      <c r="N194" s="291"/>
      <c r="O194" s="431"/>
    </row>
    <row r="195" spans="2:15" ht="25" customHeight="1" x14ac:dyDescent="0.3">
      <c r="B195" s="426"/>
      <c r="C195" s="426"/>
      <c r="D195" s="314"/>
      <c r="E195" s="314"/>
      <c r="F195" s="314"/>
      <c r="G195" s="427"/>
      <c r="H195" s="427"/>
      <c r="I195" s="427"/>
      <c r="J195" s="428"/>
      <c r="K195" s="428"/>
      <c r="L195" s="428"/>
      <c r="M195" s="291"/>
      <c r="N195" s="291"/>
      <c r="O195" s="431"/>
    </row>
    <row r="196" spans="2:15" ht="25" customHeight="1" x14ac:dyDescent="0.3">
      <c r="B196" s="426"/>
      <c r="C196" s="426"/>
      <c r="D196" s="314"/>
      <c r="E196" s="314"/>
      <c r="F196" s="314"/>
      <c r="G196" s="427"/>
      <c r="H196" s="427"/>
      <c r="I196" s="427"/>
      <c r="J196" s="428"/>
      <c r="K196" s="428"/>
      <c r="L196" s="428"/>
      <c r="M196" s="291"/>
      <c r="N196" s="291"/>
      <c r="O196" s="431"/>
    </row>
    <row r="197" spans="2:15" ht="25" customHeight="1" x14ac:dyDescent="0.3">
      <c r="B197" s="426"/>
      <c r="C197" s="426"/>
      <c r="D197" s="314"/>
      <c r="E197" s="314"/>
      <c r="F197" s="314"/>
      <c r="G197" s="427"/>
      <c r="H197" s="427"/>
      <c r="I197" s="427"/>
      <c r="J197" s="428"/>
      <c r="K197" s="428"/>
      <c r="L197" s="428"/>
      <c r="M197" s="291"/>
      <c r="N197" s="291"/>
      <c r="O197" s="431"/>
    </row>
    <row r="198" spans="2:15" ht="25" customHeight="1" x14ac:dyDescent="0.3">
      <c r="B198" s="426"/>
      <c r="C198" s="426"/>
      <c r="D198" s="314"/>
      <c r="E198" s="314"/>
      <c r="F198" s="314"/>
      <c r="G198" s="427"/>
      <c r="H198" s="427"/>
      <c r="I198" s="427"/>
      <c r="J198" s="428"/>
      <c r="K198" s="428"/>
      <c r="L198" s="428"/>
      <c r="M198" s="291"/>
      <c r="N198" s="291"/>
      <c r="O198" s="431"/>
    </row>
    <row r="199" spans="2:15" ht="25" customHeight="1" x14ac:dyDescent="0.3">
      <c r="B199" s="426"/>
      <c r="C199" s="426"/>
      <c r="D199" s="314"/>
      <c r="E199" s="314"/>
      <c r="F199" s="314"/>
      <c r="G199" s="427"/>
      <c r="H199" s="427"/>
      <c r="I199" s="427"/>
      <c r="J199" s="428"/>
      <c r="K199" s="428"/>
      <c r="L199" s="428"/>
      <c r="M199" s="291"/>
      <c r="N199" s="291"/>
      <c r="O199" s="431"/>
    </row>
    <row r="200" spans="2:15" ht="25" customHeight="1" x14ac:dyDescent="0.3">
      <c r="B200" s="426"/>
      <c r="C200" s="426"/>
      <c r="D200" s="314"/>
      <c r="E200" s="314"/>
      <c r="F200" s="314"/>
      <c r="G200" s="427"/>
      <c r="H200" s="427"/>
      <c r="I200" s="427"/>
      <c r="J200" s="428"/>
      <c r="K200" s="428"/>
      <c r="L200" s="428"/>
      <c r="M200" s="291"/>
      <c r="N200" s="291"/>
      <c r="O200" s="431"/>
    </row>
    <row r="201" spans="2:15" ht="25" customHeight="1" x14ac:dyDescent="0.3">
      <c r="B201" s="426"/>
      <c r="C201" s="426"/>
      <c r="D201" s="314"/>
      <c r="E201" s="314"/>
      <c r="F201" s="314"/>
      <c r="G201" s="427"/>
      <c r="H201" s="427"/>
      <c r="I201" s="427"/>
      <c r="J201" s="428"/>
      <c r="K201" s="428"/>
      <c r="L201" s="428"/>
      <c r="M201" s="291"/>
      <c r="N201" s="291"/>
      <c r="O201" s="431"/>
    </row>
    <row r="202" spans="2:15" ht="25" customHeight="1" x14ac:dyDescent="0.3">
      <c r="B202" s="426"/>
      <c r="C202" s="426"/>
      <c r="D202" s="314"/>
      <c r="E202" s="314"/>
      <c r="F202" s="314"/>
      <c r="G202" s="427"/>
      <c r="H202" s="427"/>
      <c r="I202" s="427"/>
      <c r="J202" s="428"/>
      <c r="K202" s="428"/>
      <c r="L202" s="428"/>
      <c r="M202" s="291"/>
      <c r="N202" s="291"/>
      <c r="O202" s="431"/>
    </row>
    <row r="203" spans="2:15" ht="25" customHeight="1" x14ac:dyDescent="0.3">
      <c r="B203" s="426"/>
      <c r="C203" s="426"/>
      <c r="D203" s="314"/>
      <c r="E203" s="314"/>
      <c r="F203" s="314"/>
      <c r="G203" s="427"/>
      <c r="H203" s="427"/>
      <c r="I203" s="427"/>
      <c r="J203" s="428"/>
      <c r="K203" s="428"/>
      <c r="L203" s="428"/>
      <c r="M203" s="291"/>
      <c r="N203" s="291"/>
      <c r="O203" s="431"/>
    </row>
    <row r="204" spans="2:15" ht="25" customHeight="1" x14ac:dyDescent="0.3">
      <c r="B204" s="426"/>
      <c r="C204" s="426"/>
      <c r="D204" s="314"/>
      <c r="E204" s="314"/>
      <c r="F204" s="314"/>
      <c r="G204" s="427"/>
      <c r="H204" s="427"/>
      <c r="I204" s="427"/>
      <c r="J204" s="428"/>
      <c r="K204" s="428"/>
      <c r="L204" s="428"/>
      <c r="M204" s="291"/>
      <c r="N204" s="291"/>
      <c r="O204" s="431"/>
    </row>
    <row r="205" spans="2:15" ht="25" customHeight="1" x14ac:dyDescent="0.3">
      <c r="B205" s="426"/>
      <c r="C205" s="426"/>
      <c r="D205" s="314"/>
      <c r="E205" s="314"/>
      <c r="F205" s="314"/>
      <c r="G205" s="427"/>
      <c r="H205" s="427"/>
      <c r="I205" s="427"/>
      <c r="J205" s="428"/>
      <c r="K205" s="428"/>
      <c r="L205" s="428"/>
      <c r="M205" s="291"/>
      <c r="N205" s="291"/>
      <c r="O205" s="431"/>
    </row>
  </sheetData>
  <mergeCells count="4">
    <mergeCell ref="B2:D2"/>
    <mergeCell ref="G2:I2"/>
    <mergeCell ref="J2:L2"/>
    <mergeCell ref="E3:F3"/>
  </mergeCells>
  <conditionalFormatting sqref="M4:O6 M7:N23">
    <cfRule type="cellIs" dxfId="14" priority="3" operator="equal">
      <formula>1</formula>
    </cfRule>
    <cfRule type="cellIs" dxfId="13" priority="4" operator="equal">
      <formula>2</formula>
    </cfRule>
  </conditionalFormatting>
  <conditionalFormatting sqref="O7:O23">
    <cfRule type="cellIs" dxfId="12" priority="1" operator="equal">
      <formula>1</formula>
    </cfRule>
    <cfRule type="cellIs" dxfId="11" priority="2" operator="equal">
      <formula>2</formula>
    </cfRule>
  </conditionalFormatting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201"/>
  <sheetViews>
    <sheetView workbookViewId="0">
      <selection activeCell="M8" sqref="M8"/>
    </sheetView>
  </sheetViews>
  <sheetFormatPr defaultColWidth="8.81640625" defaultRowHeight="14" x14ac:dyDescent="0.35"/>
  <cols>
    <col min="1" max="1" width="4.453125" style="173" customWidth="1"/>
    <col min="2" max="2" width="8.81640625" style="173"/>
    <col min="3" max="3" width="20.6328125" style="173" customWidth="1"/>
    <col min="4" max="4" width="15" style="173" customWidth="1"/>
    <col min="5" max="6" width="18.6328125" style="173" hidden="1" customWidth="1"/>
    <col min="7" max="7" width="13.6328125" style="173" customWidth="1"/>
    <col min="8" max="9" width="16" style="173" customWidth="1"/>
    <col min="10" max="10" width="18.6328125" style="173" customWidth="1"/>
    <col min="11" max="11" width="20.453125" style="173" customWidth="1"/>
    <col min="12" max="12" width="18.6328125" style="173" customWidth="1"/>
    <col min="13" max="13" width="14.453125" style="173" customWidth="1"/>
    <col min="14" max="16384" width="8.81640625" style="173"/>
  </cols>
  <sheetData>
    <row r="1" spans="2:13" x14ac:dyDescent="0.35">
      <c r="M1" s="437">
        <v>0.02</v>
      </c>
    </row>
    <row r="2" spans="2:13" ht="30" customHeight="1" x14ac:dyDescent="0.35">
      <c r="B2" s="475" t="s">
        <v>111</v>
      </c>
      <c r="C2" s="507"/>
      <c r="D2" s="476"/>
      <c r="E2" s="267"/>
      <c r="F2" s="267"/>
      <c r="G2" s="268" t="s">
        <v>110</v>
      </c>
      <c r="H2" s="269"/>
      <c r="I2" s="269"/>
      <c r="J2" s="270" t="s">
        <v>108</v>
      </c>
      <c r="K2" s="271"/>
      <c r="L2" s="173" t="s">
        <v>2690</v>
      </c>
      <c r="M2" s="173" t="s">
        <v>2698</v>
      </c>
    </row>
    <row r="3" spans="2:13" ht="30" customHeight="1" x14ac:dyDescent="0.35">
      <c r="B3" s="149" t="s">
        <v>20</v>
      </c>
      <c r="C3" s="149" t="s">
        <v>228</v>
      </c>
      <c r="D3" s="149" t="s">
        <v>121</v>
      </c>
      <c r="E3" s="475" t="s">
        <v>317</v>
      </c>
      <c r="F3" s="476"/>
      <c r="G3" s="153" t="s">
        <v>11</v>
      </c>
      <c r="H3" s="151" t="s">
        <v>225</v>
      </c>
      <c r="I3" s="151" t="s">
        <v>226</v>
      </c>
      <c r="J3" s="152" t="s">
        <v>227</v>
      </c>
      <c r="K3" s="152" t="s">
        <v>156</v>
      </c>
    </row>
    <row r="4" spans="2:13" ht="30" customHeight="1" x14ac:dyDescent="0.35">
      <c r="B4" s="149"/>
      <c r="C4" s="149"/>
      <c r="D4" s="149"/>
      <c r="E4" s="149" t="s">
        <v>302</v>
      </c>
      <c r="F4" s="149" t="s">
        <v>303</v>
      </c>
      <c r="G4" s="153"/>
      <c r="H4" s="151"/>
      <c r="I4" s="151"/>
      <c r="J4" s="434"/>
      <c r="K4" s="434"/>
    </row>
    <row r="5" spans="2:13" ht="30" customHeight="1" x14ac:dyDescent="0.35">
      <c r="B5" s="149" t="s">
        <v>1701</v>
      </c>
      <c r="C5" s="149" t="s">
        <v>1702</v>
      </c>
      <c r="D5" s="149" t="s">
        <v>1703</v>
      </c>
      <c r="E5" s="435">
        <f>7+26/60+0/3600</f>
        <v>7.4333333333333336</v>
      </c>
      <c r="F5" s="435">
        <f>134+31/60+21/3600</f>
        <v>134.52250000000001</v>
      </c>
      <c r="G5" s="153">
        <v>2019</v>
      </c>
      <c r="H5" s="151">
        <v>385000</v>
      </c>
      <c r="I5" s="151">
        <v>385000</v>
      </c>
      <c r="J5" s="434">
        <v>5</v>
      </c>
      <c r="K5" s="434">
        <v>5</v>
      </c>
    </row>
    <row r="6" spans="2:13" ht="30" customHeight="1" x14ac:dyDescent="0.35">
      <c r="B6" s="149" t="s">
        <v>1704</v>
      </c>
      <c r="C6" s="149" t="s">
        <v>1705</v>
      </c>
      <c r="D6" s="149" t="s">
        <v>788</v>
      </c>
      <c r="E6" s="435">
        <f>7+20/60+20/3600</f>
        <v>7.3388888888888886</v>
      </c>
      <c r="F6" s="435">
        <f>134+28/60+7/3600</f>
        <v>134.4686111111111</v>
      </c>
      <c r="G6" s="153" t="s">
        <v>421</v>
      </c>
      <c r="H6" s="151">
        <v>310000</v>
      </c>
      <c r="I6" s="151">
        <v>16500</v>
      </c>
      <c r="J6" s="434">
        <v>5</v>
      </c>
      <c r="K6" s="434">
        <v>5</v>
      </c>
    </row>
    <row r="7" spans="2:13" ht="25" customHeight="1" x14ac:dyDescent="0.35">
      <c r="B7" s="149"/>
      <c r="C7" s="149"/>
      <c r="D7" s="149"/>
      <c r="E7" s="149"/>
      <c r="F7" s="149"/>
      <c r="G7" s="153"/>
      <c r="H7" s="151"/>
      <c r="I7" s="151"/>
      <c r="J7" s="152"/>
      <c r="K7" s="152"/>
      <c r="L7" s="436">
        <v>1000000</v>
      </c>
      <c r="M7" s="438">
        <f>M1*L7</f>
        <v>20000</v>
      </c>
    </row>
    <row r="8" spans="2:13" ht="25" customHeight="1" x14ac:dyDescent="0.35">
      <c r="B8" s="149"/>
      <c r="C8" s="149"/>
      <c r="D8" s="149"/>
      <c r="E8" s="149"/>
      <c r="F8" s="149"/>
      <c r="G8" s="153"/>
      <c r="H8" s="151"/>
      <c r="I8" s="151"/>
      <c r="J8" s="152"/>
      <c r="K8" s="152"/>
    </row>
    <row r="9" spans="2:13" ht="25" customHeight="1" x14ac:dyDescent="0.35">
      <c r="B9" s="149"/>
      <c r="C9" s="149"/>
      <c r="D9" s="149"/>
      <c r="E9" s="149"/>
      <c r="F9" s="149"/>
      <c r="G9" s="153"/>
      <c r="H9" s="151"/>
      <c r="I9" s="151"/>
      <c r="J9" s="152"/>
      <c r="K9" s="152"/>
    </row>
    <row r="10" spans="2:13" ht="25" customHeight="1" x14ac:dyDescent="0.35">
      <c r="B10" s="149"/>
      <c r="C10" s="149"/>
      <c r="D10" s="149"/>
      <c r="E10" s="149"/>
      <c r="F10" s="149"/>
      <c r="G10" s="153"/>
      <c r="H10" s="151"/>
      <c r="I10" s="151"/>
      <c r="J10" s="152"/>
      <c r="K10" s="152"/>
    </row>
    <row r="11" spans="2:13" ht="25" customHeight="1" x14ac:dyDescent="0.35">
      <c r="B11" s="149"/>
      <c r="C11" s="149"/>
      <c r="D11" s="149"/>
      <c r="E11" s="149"/>
      <c r="F11" s="149"/>
      <c r="G11" s="153"/>
      <c r="H11" s="151"/>
      <c r="I11" s="151"/>
      <c r="J11" s="152"/>
      <c r="K11" s="152"/>
    </row>
    <row r="12" spans="2:13" ht="25" customHeight="1" x14ac:dyDescent="0.35">
      <c r="B12" s="149"/>
      <c r="C12" s="149"/>
      <c r="D12" s="149"/>
      <c r="E12" s="149"/>
      <c r="F12" s="149"/>
      <c r="G12" s="153"/>
      <c r="H12" s="151"/>
      <c r="I12" s="151"/>
      <c r="J12" s="152"/>
      <c r="K12" s="152"/>
    </row>
    <row r="13" spans="2:13" ht="25" customHeight="1" x14ac:dyDescent="0.35">
      <c r="B13" s="149"/>
      <c r="C13" s="149"/>
      <c r="D13" s="149"/>
      <c r="E13" s="149"/>
      <c r="F13" s="149"/>
      <c r="G13" s="153"/>
      <c r="H13" s="151"/>
      <c r="I13" s="151"/>
      <c r="J13" s="152"/>
      <c r="K13" s="152"/>
    </row>
    <row r="14" spans="2:13" ht="25" customHeight="1" x14ac:dyDescent="0.35">
      <c r="B14" s="149"/>
      <c r="C14" s="149"/>
      <c r="D14" s="149"/>
      <c r="E14" s="149"/>
      <c r="F14" s="149"/>
      <c r="G14" s="153"/>
      <c r="H14" s="151"/>
      <c r="I14" s="151"/>
      <c r="J14" s="152"/>
      <c r="K14" s="152"/>
    </row>
    <row r="15" spans="2:13" ht="25" customHeight="1" x14ac:dyDescent="0.35">
      <c r="B15" s="149"/>
      <c r="C15" s="149"/>
      <c r="D15" s="149"/>
      <c r="E15" s="149"/>
      <c r="F15" s="149"/>
      <c r="G15" s="153"/>
      <c r="H15" s="151"/>
      <c r="I15" s="151"/>
      <c r="J15" s="152"/>
      <c r="K15" s="152"/>
    </row>
    <row r="16" spans="2:13" ht="25" customHeight="1" x14ac:dyDescent="0.35">
      <c r="B16" s="149"/>
      <c r="C16" s="149"/>
      <c r="D16" s="149"/>
      <c r="E16" s="149"/>
      <c r="F16" s="149"/>
      <c r="G16" s="153"/>
      <c r="H16" s="151"/>
      <c r="I16" s="151"/>
      <c r="J16" s="152"/>
      <c r="K16" s="152"/>
    </row>
    <row r="17" spans="2:11" ht="25" customHeight="1" x14ac:dyDescent="0.35">
      <c r="B17" s="149"/>
      <c r="C17" s="149"/>
      <c r="D17" s="149"/>
      <c r="E17" s="149"/>
      <c r="F17" s="149"/>
      <c r="G17" s="153"/>
      <c r="H17" s="151"/>
      <c r="I17" s="151"/>
      <c r="J17" s="152"/>
      <c r="K17" s="152"/>
    </row>
    <row r="18" spans="2:11" ht="25" customHeight="1" x14ac:dyDescent="0.35">
      <c r="B18" s="149"/>
      <c r="C18" s="149"/>
      <c r="D18" s="149"/>
      <c r="E18" s="149"/>
      <c r="F18" s="149"/>
      <c r="G18" s="153"/>
      <c r="H18" s="151"/>
      <c r="I18" s="151"/>
      <c r="J18" s="152"/>
      <c r="K18" s="152"/>
    </row>
    <row r="19" spans="2:11" ht="25" customHeight="1" x14ac:dyDescent="0.35">
      <c r="B19" s="149"/>
      <c r="C19" s="149"/>
      <c r="D19" s="149"/>
      <c r="E19" s="149"/>
      <c r="F19" s="149"/>
      <c r="G19" s="153"/>
      <c r="H19" s="151"/>
      <c r="I19" s="151"/>
      <c r="J19" s="152"/>
      <c r="K19" s="152"/>
    </row>
    <row r="20" spans="2:11" ht="25" customHeight="1" x14ac:dyDescent="0.35">
      <c r="B20" s="149"/>
      <c r="C20" s="149"/>
      <c r="D20" s="149"/>
      <c r="E20" s="149"/>
      <c r="F20" s="149"/>
      <c r="G20" s="153"/>
      <c r="H20" s="151"/>
      <c r="I20" s="151"/>
      <c r="J20" s="152"/>
      <c r="K20" s="152"/>
    </row>
    <row r="21" spans="2:11" ht="25" customHeight="1" x14ac:dyDescent="0.35">
      <c r="B21" s="149"/>
      <c r="C21" s="149"/>
      <c r="D21" s="149"/>
      <c r="E21" s="149"/>
      <c r="F21" s="149"/>
      <c r="G21" s="153"/>
      <c r="H21" s="151"/>
      <c r="I21" s="151"/>
      <c r="J21" s="152"/>
      <c r="K21" s="152"/>
    </row>
    <row r="22" spans="2:11" ht="25" customHeight="1" x14ac:dyDescent="0.35">
      <c r="B22" s="149"/>
      <c r="C22" s="149"/>
      <c r="D22" s="149"/>
      <c r="E22" s="149"/>
      <c r="F22" s="149"/>
      <c r="G22" s="153"/>
      <c r="H22" s="151"/>
      <c r="I22" s="151"/>
      <c r="J22" s="152"/>
      <c r="K22" s="152"/>
    </row>
    <row r="23" spans="2:11" ht="25" customHeight="1" x14ac:dyDescent="0.35">
      <c r="B23" s="149"/>
      <c r="C23" s="149"/>
      <c r="D23" s="149"/>
      <c r="E23" s="149"/>
      <c r="F23" s="149"/>
      <c r="G23" s="153"/>
      <c r="H23" s="151"/>
      <c r="I23" s="151"/>
      <c r="J23" s="152"/>
      <c r="K23" s="152"/>
    </row>
    <row r="24" spans="2:11" ht="25" customHeight="1" x14ac:dyDescent="0.35">
      <c r="B24" s="149"/>
      <c r="C24" s="149"/>
      <c r="D24" s="149"/>
      <c r="E24" s="149"/>
      <c r="F24" s="149"/>
      <c r="G24" s="153"/>
      <c r="H24" s="151"/>
      <c r="I24" s="151"/>
      <c r="J24" s="152"/>
      <c r="K24" s="152"/>
    </row>
    <row r="25" spans="2:11" ht="25" customHeight="1" x14ac:dyDescent="0.35">
      <c r="B25" s="149"/>
      <c r="C25" s="149"/>
      <c r="D25" s="149"/>
      <c r="E25" s="149"/>
      <c r="F25" s="149"/>
      <c r="G25" s="153"/>
      <c r="H25" s="151"/>
      <c r="I25" s="151"/>
      <c r="J25" s="152"/>
      <c r="K25" s="152"/>
    </row>
    <row r="26" spans="2:11" ht="25" customHeight="1" x14ac:dyDescent="0.35">
      <c r="B26" s="149"/>
      <c r="C26" s="149"/>
      <c r="D26" s="149"/>
      <c r="E26" s="149"/>
      <c r="F26" s="149"/>
      <c r="G26" s="153"/>
      <c r="H26" s="151"/>
      <c r="I26" s="151"/>
      <c r="J26" s="152"/>
      <c r="K26" s="152"/>
    </row>
    <row r="27" spans="2:11" ht="25" customHeight="1" x14ac:dyDescent="0.35">
      <c r="B27" s="149"/>
      <c r="C27" s="149"/>
      <c r="D27" s="149"/>
      <c r="E27" s="149"/>
      <c r="F27" s="149"/>
      <c r="G27" s="153"/>
      <c r="H27" s="151"/>
      <c r="I27" s="151"/>
      <c r="J27" s="152"/>
      <c r="K27" s="152"/>
    </row>
    <row r="28" spans="2:11" ht="25" customHeight="1" x14ac:dyDescent="0.35">
      <c r="B28" s="149"/>
      <c r="C28" s="149"/>
      <c r="D28" s="149"/>
      <c r="E28" s="149"/>
      <c r="F28" s="149"/>
      <c r="G28" s="153"/>
      <c r="H28" s="151"/>
      <c r="I28" s="151"/>
      <c r="J28" s="152"/>
      <c r="K28" s="152"/>
    </row>
    <row r="29" spans="2:11" ht="25" customHeight="1" x14ac:dyDescent="0.35">
      <c r="B29" s="149"/>
      <c r="C29" s="149"/>
      <c r="D29" s="149"/>
      <c r="E29" s="149"/>
      <c r="F29" s="149"/>
      <c r="G29" s="153"/>
      <c r="H29" s="151"/>
      <c r="I29" s="151"/>
      <c r="J29" s="152"/>
      <c r="K29" s="152"/>
    </row>
    <row r="30" spans="2:11" ht="25" customHeight="1" x14ac:dyDescent="0.35">
      <c r="B30" s="149"/>
      <c r="C30" s="149"/>
      <c r="D30" s="149"/>
      <c r="E30" s="149"/>
      <c r="F30" s="149"/>
      <c r="G30" s="153"/>
      <c r="H30" s="151"/>
      <c r="I30" s="151"/>
      <c r="J30" s="152"/>
      <c r="K30" s="152"/>
    </row>
    <row r="31" spans="2:11" ht="25" customHeight="1" x14ac:dyDescent="0.35">
      <c r="B31" s="149"/>
      <c r="C31" s="149"/>
      <c r="D31" s="149"/>
      <c r="E31" s="149"/>
      <c r="F31" s="149"/>
      <c r="G31" s="153"/>
      <c r="H31" s="151"/>
      <c r="I31" s="151"/>
      <c r="J31" s="152"/>
      <c r="K31" s="152"/>
    </row>
    <row r="32" spans="2:11" ht="25" customHeight="1" x14ac:dyDescent="0.35">
      <c r="B32" s="149"/>
      <c r="C32" s="149"/>
      <c r="D32" s="149"/>
      <c r="E32" s="149"/>
      <c r="F32" s="149"/>
      <c r="G32" s="153"/>
      <c r="H32" s="151"/>
      <c r="I32" s="151"/>
      <c r="J32" s="152"/>
      <c r="K32" s="152"/>
    </row>
    <row r="33" spans="2:11" ht="25" customHeight="1" x14ac:dyDescent="0.35">
      <c r="B33" s="149"/>
      <c r="C33" s="149"/>
      <c r="D33" s="149"/>
      <c r="E33" s="149"/>
      <c r="F33" s="149"/>
      <c r="G33" s="153"/>
      <c r="H33" s="151"/>
      <c r="I33" s="151"/>
      <c r="J33" s="152"/>
      <c r="K33" s="152"/>
    </row>
    <row r="34" spans="2:11" ht="25" customHeight="1" x14ac:dyDescent="0.35">
      <c r="B34" s="149"/>
      <c r="C34" s="149"/>
      <c r="D34" s="149"/>
      <c r="E34" s="149"/>
      <c r="F34" s="149"/>
      <c r="G34" s="153"/>
      <c r="H34" s="151"/>
      <c r="I34" s="151"/>
      <c r="J34" s="152"/>
      <c r="K34" s="152"/>
    </row>
    <row r="35" spans="2:11" ht="25" customHeight="1" x14ac:dyDescent="0.35">
      <c r="B35" s="149"/>
      <c r="C35" s="149"/>
      <c r="D35" s="149"/>
      <c r="E35" s="149"/>
      <c r="F35" s="149"/>
      <c r="G35" s="153"/>
      <c r="H35" s="151"/>
      <c r="I35" s="151"/>
      <c r="J35" s="152"/>
      <c r="K35" s="152"/>
    </row>
    <row r="36" spans="2:11" ht="25" customHeight="1" x14ac:dyDescent="0.35">
      <c r="B36" s="149"/>
      <c r="C36" s="149"/>
      <c r="D36" s="149"/>
      <c r="E36" s="149"/>
      <c r="F36" s="149"/>
      <c r="G36" s="153"/>
      <c r="H36" s="151"/>
      <c r="I36" s="151"/>
      <c r="J36" s="152"/>
      <c r="K36" s="152"/>
    </row>
    <row r="37" spans="2:11" ht="25" customHeight="1" x14ac:dyDescent="0.35">
      <c r="B37" s="149"/>
      <c r="C37" s="149"/>
      <c r="D37" s="149"/>
      <c r="E37" s="149"/>
      <c r="F37" s="149"/>
      <c r="G37" s="153"/>
      <c r="H37" s="151"/>
      <c r="I37" s="151"/>
      <c r="J37" s="152"/>
      <c r="K37" s="152"/>
    </row>
    <row r="38" spans="2:11" ht="25" customHeight="1" x14ac:dyDescent="0.35">
      <c r="B38" s="149"/>
      <c r="C38" s="149"/>
      <c r="D38" s="149"/>
      <c r="E38" s="149"/>
      <c r="F38" s="149"/>
      <c r="G38" s="153"/>
      <c r="H38" s="151"/>
      <c r="I38" s="151"/>
      <c r="J38" s="152"/>
      <c r="K38" s="152"/>
    </row>
    <row r="39" spans="2:11" ht="25" customHeight="1" x14ac:dyDescent="0.35">
      <c r="B39" s="149"/>
      <c r="C39" s="149"/>
      <c r="D39" s="149"/>
      <c r="E39" s="149"/>
      <c r="F39" s="149"/>
      <c r="G39" s="153"/>
      <c r="H39" s="151"/>
      <c r="I39" s="151"/>
      <c r="J39" s="152"/>
      <c r="K39" s="152"/>
    </row>
    <row r="40" spans="2:11" ht="25" customHeight="1" x14ac:dyDescent="0.35">
      <c r="B40" s="149"/>
      <c r="C40" s="149"/>
      <c r="D40" s="149"/>
      <c r="E40" s="149"/>
      <c r="F40" s="149"/>
      <c r="G40" s="153"/>
      <c r="H40" s="151"/>
      <c r="I40" s="151"/>
      <c r="J40" s="152"/>
      <c r="K40" s="152"/>
    </row>
    <row r="41" spans="2:11" ht="25" customHeight="1" x14ac:dyDescent="0.35">
      <c r="B41" s="149"/>
      <c r="C41" s="149"/>
      <c r="D41" s="149"/>
      <c r="E41" s="149"/>
      <c r="F41" s="149"/>
      <c r="G41" s="153"/>
      <c r="H41" s="151"/>
      <c r="I41" s="151"/>
      <c r="J41" s="152"/>
      <c r="K41" s="152"/>
    </row>
    <row r="42" spans="2:11" ht="25" customHeight="1" x14ac:dyDescent="0.35">
      <c r="B42" s="149"/>
      <c r="C42" s="149"/>
      <c r="D42" s="149"/>
      <c r="E42" s="149"/>
      <c r="F42" s="149"/>
      <c r="G42" s="153"/>
      <c r="H42" s="151"/>
      <c r="I42" s="151"/>
      <c r="J42" s="152"/>
      <c r="K42" s="152"/>
    </row>
    <row r="43" spans="2:11" ht="25" customHeight="1" x14ac:dyDescent="0.35">
      <c r="B43" s="149"/>
      <c r="C43" s="149"/>
      <c r="D43" s="149"/>
      <c r="E43" s="149"/>
      <c r="F43" s="149"/>
      <c r="G43" s="153"/>
      <c r="H43" s="151"/>
      <c r="I43" s="151"/>
      <c r="J43" s="152"/>
      <c r="K43" s="152"/>
    </row>
    <row r="44" spans="2:11" ht="25" customHeight="1" x14ac:dyDescent="0.35">
      <c r="B44" s="149"/>
      <c r="C44" s="149"/>
      <c r="D44" s="149"/>
      <c r="E44" s="149"/>
      <c r="F44" s="149"/>
      <c r="G44" s="153"/>
      <c r="H44" s="151"/>
      <c r="I44" s="151"/>
      <c r="J44" s="152"/>
      <c r="K44" s="152"/>
    </row>
    <row r="45" spans="2:11" ht="25" customHeight="1" x14ac:dyDescent="0.35">
      <c r="B45" s="149"/>
      <c r="C45" s="149"/>
      <c r="D45" s="149"/>
      <c r="E45" s="149"/>
      <c r="F45" s="149"/>
      <c r="G45" s="153"/>
      <c r="H45" s="151"/>
      <c r="I45" s="151"/>
      <c r="J45" s="152"/>
      <c r="K45" s="152"/>
    </row>
    <row r="46" spans="2:11" ht="25" customHeight="1" x14ac:dyDescent="0.35">
      <c r="B46" s="149"/>
      <c r="C46" s="149"/>
      <c r="D46" s="149"/>
      <c r="E46" s="149"/>
      <c r="F46" s="149"/>
      <c r="G46" s="153"/>
      <c r="H46" s="151"/>
      <c r="I46" s="151"/>
      <c r="J46" s="152"/>
      <c r="K46" s="152"/>
    </row>
    <row r="47" spans="2:11" ht="25" customHeight="1" x14ac:dyDescent="0.35">
      <c r="B47" s="149"/>
      <c r="C47" s="149"/>
      <c r="D47" s="149"/>
      <c r="E47" s="149"/>
      <c r="F47" s="149"/>
      <c r="G47" s="153"/>
      <c r="H47" s="151"/>
      <c r="I47" s="151"/>
      <c r="J47" s="152"/>
      <c r="K47" s="152"/>
    </row>
    <row r="48" spans="2:11" ht="25" customHeight="1" x14ac:dyDescent="0.35">
      <c r="B48" s="149"/>
      <c r="C48" s="149"/>
      <c r="D48" s="149"/>
      <c r="E48" s="149"/>
      <c r="F48" s="149"/>
      <c r="G48" s="153"/>
      <c r="H48" s="151"/>
      <c r="I48" s="151"/>
      <c r="J48" s="152"/>
      <c r="K48" s="152"/>
    </row>
    <row r="49" spans="2:11" ht="25" customHeight="1" x14ac:dyDescent="0.35">
      <c r="B49" s="149"/>
      <c r="C49" s="149"/>
      <c r="D49" s="149"/>
      <c r="E49" s="149"/>
      <c r="F49" s="149"/>
      <c r="G49" s="153"/>
      <c r="H49" s="151"/>
      <c r="I49" s="151"/>
      <c r="J49" s="152"/>
      <c r="K49" s="152"/>
    </row>
    <row r="50" spans="2:11" ht="25" customHeight="1" x14ac:dyDescent="0.35">
      <c r="B50" s="149"/>
      <c r="C50" s="149"/>
      <c r="D50" s="149"/>
      <c r="E50" s="149"/>
      <c r="F50" s="149"/>
      <c r="G50" s="153"/>
      <c r="H50" s="151"/>
      <c r="I50" s="151"/>
      <c r="J50" s="152"/>
      <c r="K50" s="152"/>
    </row>
    <row r="51" spans="2:11" ht="25" customHeight="1" x14ac:dyDescent="0.35">
      <c r="B51" s="149"/>
      <c r="C51" s="149"/>
      <c r="D51" s="149"/>
      <c r="E51" s="149"/>
      <c r="F51" s="149"/>
      <c r="G51" s="153"/>
      <c r="H51" s="151"/>
      <c r="I51" s="151"/>
      <c r="J51" s="152"/>
      <c r="K51" s="152"/>
    </row>
    <row r="52" spans="2:11" ht="25" customHeight="1" x14ac:dyDescent="0.35">
      <c r="B52" s="149"/>
      <c r="C52" s="149"/>
      <c r="D52" s="149"/>
      <c r="E52" s="149"/>
      <c r="F52" s="149"/>
      <c r="G52" s="153"/>
      <c r="H52" s="151"/>
      <c r="I52" s="151"/>
      <c r="J52" s="152"/>
      <c r="K52" s="152"/>
    </row>
    <row r="53" spans="2:11" ht="25" customHeight="1" x14ac:dyDescent="0.35">
      <c r="B53" s="149"/>
      <c r="C53" s="149"/>
      <c r="D53" s="149"/>
      <c r="E53" s="149"/>
      <c r="F53" s="149"/>
      <c r="G53" s="153"/>
      <c r="H53" s="151"/>
      <c r="I53" s="151"/>
      <c r="J53" s="152"/>
      <c r="K53" s="152"/>
    </row>
    <row r="54" spans="2:11" ht="25" customHeight="1" x14ac:dyDescent="0.35">
      <c r="B54" s="149"/>
      <c r="C54" s="149"/>
      <c r="D54" s="149"/>
      <c r="E54" s="149"/>
      <c r="F54" s="149"/>
      <c r="G54" s="153"/>
      <c r="H54" s="151"/>
      <c r="I54" s="151"/>
      <c r="J54" s="152"/>
      <c r="K54" s="152"/>
    </row>
    <row r="55" spans="2:11" ht="25" customHeight="1" x14ac:dyDescent="0.35">
      <c r="B55" s="149"/>
      <c r="C55" s="149"/>
      <c r="D55" s="149"/>
      <c r="E55" s="149"/>
      <c r="F55" s="149"/>
      <c r="G55" s="153"/>
      <c r="H55" s="151"/>
      <c r="I55" s="151"/>
      <c r="J55" s="152"/>
      <c r="K55" s="152"/>
    </row>
    <row r="56" spans="2:11" ht="25" customHeight="1" x14ac:dyDescent="0.35">
      <c r="B56" s="149"/>
      <c r="C56" s="149"/>
      <c r="D56" s="149"/>
      <c r="E56" s="149"/>
      <c r="F56" s="149"/>
      <c r="G56" s="153"/>
      <c r="H56" s="151"/>
      <c r="I56" s="151"/>
      <c r="J56" s="152"/>
      <c r="K56" s="152"/>
    </row>
    <row r="57" spans="2:11" ht="25" customHeight="1" x14ac:dyDescent="0.35">
      <c r="B57" s="149"/>
      <c r="C57" s="149"/>
      <c r="D57" s="149"/>
      <c r="E57" s="149"/>
      <c r="F57" s="149"/>
      <c r="G57" s="153"/>
      <c r="H57" s="151"/>
      <c r="I57" s="151"/>
      <c r="J57" s="152"/>
      <c r="K57" s="152"/>
    </row>
    <row r="58" spans="2:11" ht="25" customHeight="1" x14ac:dyDescent="0.35">
      <c r="B58" s="149"/>
      <c r="C58" s="149"/>
      <c r="D58" s="149"/>
      <c r="E58" s="149"/>
      <c r="F58" s="149"/>
      <c r="G58" s="153"/>
      <c r="H58" s="151"/>
      <c r="I58" s="151"/>
      <c r="J58" s="152"/>
      <c r="K58" s="152"/>
    </row>
    <row r="59" spans="2:11" ht="25" customHeight="1" x14ac:dyDescent="0.35">
      <c r="B59" s="149"/>
      <c r="C59" s="149"/>
      <c r="D59" s="149"/>
      <c r="E59" s="149"/>
      <c r="F59" s="149"/>
      <c r="G59" s="153"/>
      <c r="H59" s="151"/>
      <c r="I59" s="151"/>
      <c r="J59" s="152"/>
      <c r="K59" s="152"/>
    </row>
    <row r="60" spans="2:11" ht="25" customHeight="1" x14ac:dyDescent="0.35">
      <c r="B60" s="149"/>
      <c r="C60" s="149"/>
      <c r="D60" s="149"/>
      <c r="E60" s="149"/>
      <c r="F60" s="149"/>
      <c r="G60" s="153"/>
      <c r="H60" s="151"/>
      <c r="I60" s="151"/>
      <c r="J60" s="152"/>
      <c r="K60" s="152"/>
    </row>
    <row r="61" spans="2:11" ht="25" customHeight="1" x14ac:dyDescent="0.35">
      <c r="B61" s="149"/>
      <c r="C61" s="149"/>
      <c r="D61" s="149"/>
      <c r="E61" s="149"/>
      <c r="F61" s="149"/>
      <c r="G61" s="153"/>
      <c r="H61" s="151"/>
      <c r="I61" s="151"/>
      <c r="J61" s="152"/>
      <c r="K61" s="152"/>
    </row>
    <row r="62" spans="2:11" ht="25" customHeight="1" x14ac:dyDescent="0.35">
      <c r="B62" s="149"/>
      <c r="C62" s="149"/>
      <c r="D62" s="149"/>
      <c r="E62" s="149"/>
      <c r="F62" s="149"/>
      <c r="G62" s="153"/>
      <c r="H62" s="151"/>
      <c r="I62" s="151"/>
      <c r="J62" s="152"/>
      <c r="K62" s="152"/>
    </row>
    <row r="63" spans="2:11" ht="25" customHeight="1" x14ac:dyDescent="0.35">
      <c r="B63" s="149"/>
      <c r="C63" s="149"/>
      <c r="D63" s="149"/>
      <c r="E63" s="149"/>
      <c r="F63" s="149"/>
      <c r="G63" s="153"/>
      <c r="H63" s="151"/>
      <c r="I63" s="151"/>
      <c r="J63" s="152"/>
      <c r="K63" s="152"/>
    </row>
    <row r="64" spans="2:11" ht="25" customHeight="1" x14ac:dyDescent="0.35">
      <c r="B64" s="149"/>
      <c r="C64" s="149"/>
      <c r="D64" s="149"/>
      <c r="E64" s="149"/>
      <c r="F64" s="149"/>
      <c r="G64" s="153"/>
      <c r="H64" s="151"/>
      <c r="I64" s="151"/>
      <c r="J64" s="152"/>
      <c r="K64" s="152"/>
    </row>
    <row r="65" spans="2:11" ht="25" customHeight="1" x14ac:dyDescent="0.35">
      <c r="B65" s="149"/>
      <c r="C65" s="149"/>
      <c r="D65" s="149"/>
      <c r="E65" s="149"/>
      <c r="F65" s="149"/>
      <c r="G65" s="153"/>
      <c r="H65" s="151"/>
      <c r="I65" s="151"/>
      <c r="J65" s="152"/>
      <c r="K65" s="152"/>
    </row>
    <row r="66" spans="2:11" ht="25" customHeight="1" x14ac:dyDescent="0.35">
      <c r="B66" s="149"/>
      <c r="C66" s="149"/>
      <c r="D66" s="149"/>
      <c r="E66" s="149"/>
      <c r="F66" s="149"/>
      <c r="G66" s="153"/>
      <c r="H66" s="151"/>
      <c r="I66" s="151"/>
      <c r="J66" s="152"/>
      <c r="K66" s="152"/>
    </row>
    <row r="67" spans="2:11" ht="25" customHeight="1" x14ac:dyDescent="0.35">
      <c r="B67" s="149"/>
      <c r="C67" s="149"/>
      <c r="D67" s="149"/>
      <c r="E67" s="149"/>
      <c r="F67" s="149"/>
      <c r="G67" s="153"/>
      <c r="H67" s="151"/>
      <c r="I67" s="151"/>
      <c r="J67" s="152"/>
      <c r="K67" s="152"/>
    </row>
    <row r="68" spans="2:11" ht="25" customHeight="1" x14ac:dyDescent="0.35">
      <c r="B68" s="149"/>
      <c r="C68" s="149"/>
      <c r="D68" s="149"/>
      <c r="E68" s="149"/>
      <c r="F68" s="149"/>
      <c r="G68" s="153"/>
      <c r="H68" s="151"/>
      <c r="I68" s="151"/>
      <c r="J68" s="152"/>
      <c r="K68" s="152"/>
    </row>
    <row r="69" spans="2:11" ht="25" customHeight="1" x14ac:dyDescent="0.35">
      <c r="B69" s="149"/>
      <c r="C69" s="149"/>
      <c r="D69" s="149"/>
      <c r="E69" s="149"/>
      <c r="F69" s="149"/>
      <c r="G69" s="153"/>
      <c r="H69" s="151"/>
      <c r="I69" s="151"/>
      <c r="J69" s="152"/>
      <c r="K69" s="152"/>
    </row>
    <row r="70" spans="2:11" ht="25" customHeight="1" x14ac:dyDescent="0.35">
      <c r="B70" s="149"/>
      <c r="C70" s="149"/>
      <c r="D70" s="149"/>
      <c r="E70" s="149"/>
      <c r="F70" s="149"/>
      <c r="G70" s="153"/>
      <c r="H70" s="151"/>
      <c r="I70" s="151"/>
      <c r="J70" s="152"/>
      <c r="K70" s="152"/>
    </row>
    <row r="71" spans="2:11" ht="25" customHeight="1" x14ac:dyDescent="0.35">
      <c r="B71" s="149"/>
      <c r="C71" s="149"/>
      <c r="D71" s="149"/>
      <c r="E71" s="149"/>
      <c r="F71" s="149"/>
      <c r="G71" s="153"/>
      <c r="H71" s="151"/>
      <c r="I71" s="151"/>
      <c r="J71" s="152"/>
      <c r="K71" s="152"/>
    </row>
    <row r="72" spans="2:11" ht="25" customHeight="1" x14ac:dyDescent="0.35">
      <c r="B72" s="149"/>
      <c r="C72" s="149"/>
      <c r="D72" s="149"/>
      <c r="E72" s="149"/>
      <c r="F72" s="149"/>
      <c r="G72" s="153"/>
      <c r="H72" s="151"/>
      <c r="I72" s="151"/>
      <c r="J72" s="152"/>
      <c r="K72" s="152"/>
    </row>
    <row r="73" spans="2:11" ht="25" customHeight="1" x14ac:dyDescent="0.35">
      <c r="B73" s="149"/>
      <c r="C73" s="149"/>
      <c r="D73" s="149"/>
      <c r="E73" s="149"/>
      <c r="F73" s="149"/>
      <c r="G73" s="153"/>
      <c r="H73" s="151"/>
      <c r="I73" s="151"/>
      <c r="J73" s="152"/>
      <c r="K73" s="152"/>
    </row>
    <row r="74" spans="2:11" ht="25" customHeight="1" x14ac:dyDescent="0.35">
      <c r="B74" s="149"/>
      <c r="C74" s="149"/>
      <c r="D74" s="149"/>
      <c r="E74" s="149"/>
      <c r="F74" s="149"/>
      <c r="G74" s="153"/>
      <c r="H74" s="151"/>
      <c r="I74" s="151"/>
      <c r="J74" s="152"/>
      <c r="K74" s="152"/>
    </row>
    <row r="75" spans="2:11" ht="25" customHeight="1" x14ac:dyDescent="0.35">
      <c r="B75" s="149"/>
      <c r="C75" s="149"/>
      <c r="D75" s="149"/>
      <c r="E75" s="149"/>
      <c r="F75" s="149"/>
      <c r="G75" s="153"/>
      <c r="H75" s="151"/>
      <c r="I75" s="151"/>
      <c r="J75" s="152"/>
      <c r="K75" s="152"/>
    </row>
    <row r="76" spans="2:11" ht="25" customHeight="1" x14ac:dyDescent="0.35">
      <c r="B76" s="149"/>
      <c r="C76" s="149"/>
      <c r="D76" s="149"/>
      <c r="E76" s="149"/>
      <c r="F76" s="149"/>
      <c r="G76" s="153"/>
      <c r="H76" s="151"/>
      <c r="I76" s="151"/>
      <c r="J76" s="152"/>
      <c r="K76" s="152"/>
    </row>
    <row r="77" spans="2:11" ht="25" customHeight="1" x14ac:dyDescent="0.35">
      <c r="B77" s="149"/>
      <c r="C77" s="149"/>
      <c r="D77" s="149"/>
      <c r="E77" s="149"/>
      <c r="F77" s="149"/>
      <c r="G77" s="153"/>
      <c r="H77" s="151"/>
      <c r="I77" s="151"/>
      <c r="J77" s="152"/>
      <c r="K77" s="152"/>
    </row>
    <row r="78" spans="2:11" ht="25" customHeight="1" x14ac:dyDescent="0.35">
      <c r="B78" s="149"/>
      <c r="C78" s="149"/>
      <c r="D78" s="149"/>
      <c r="E78" s="149"/>
      <c r="F78" s="149"/>
      <c r="G78" s="153"/>
      <c r="H78" s="151"/>
      <c r="I78" s="151"/>
      <c r="J78" s="152"/>
      <c r="K78" s="152"/>
    </row>
    <row r="79" spans="2:11" ht="25" customHeight="1" x14ac:dyDescent="0.35">
      <c r="B79" s="149"/>
      <c r="C79" s="149"/>
      <c r="D79" s="149"/>
      <c r="E79" s="149"/>
      <c r="F79" s="149"/>
      <c r="G79" s="153"/>
      <c r="H79" s="151"/>
      <c r="I79" s="151"/>
      <c r="J79" s="152"/>
      <c r="K79" s="152"/>
    </row>
    <row r="80" spans="2:11" ht="25" customHeight="1" x14ac:dyDescent="0.35">
      <c r="B80" s="149"/>
      <c r="C80" s="149"/>
      <c r="D80" s="149"/>
      <c r="E80" s="149"/>
      <c r="F80" s="149"/>
      <c r="G80" s="153"/>
      <c r="H80" s="151"/>
      <c r="I80" s="151"/>
      <c r="J80" s="152"/>
      <c r="K80" s="152"/>
    </row>
    <row r="81" spans="2:11" ht="25" customHeight="1" x14ac:dyDescent="0.35">
      <c r="B81" s="149"/>
      <c r="C81" s="149"/>
      <c r="D81" s="149"/>
      <c r="E81" s="149"/>
      <c r="F81" s="149"/>
      <c r="G81" s="153"/>
      <c r="H81" s="151"/>
      <c r="I81" s="151"/>
      <c r="J81" s="152"/>
      <c r="K81" s="152"/>
    </row>
    <row r="82" spans="2:11" ht="25" customHeight="1" x14ac:dyDescent="0.35">
      <c r="B82" s="149"/>
      <c r="C82" s="149"/>
      <c r="D82" s="149"/>
      <c r="E82" s="149"/>
      <c r="F82" s="149"/>
      <c r="G82" s="153"/>
      <c r="H82" s="151"/>
      <c r="I82" s="151"/>
      <c r="J82" s="152"/>
      <c r="K82" s="152"/>
    </row>
    <row r="83" spans="2:11" ht="25" customHeight="1" x14ac:dyDescent="0.35">
      <c r="B83" s="149"/>
      <c r="C83" s="149"/>
      <c r="D83" s="149"/>
      <c r="E83" s="149"/>
      <c r="F83" s="149"/>
      <c r="G83" s="153"/>
      <c r="H83" s="151"/>
      <c r="I83" s="151"/>
      <c r="J83" s="152"/>
      <c r="K83" s="152"/>
    </row>
    <row r="84" spans="2:11" ht="25" customHeight="1" x14ac:dyDescent="0.35">
      <c r="B84" s="149"/>
      <c r="C84" s="149"/>
      <c r="D84" s="149"/>
      <c r="E84" s="149"/>
      <c r="F84" s="149"/>
      <c r="G84" s="153"/>
      <c r="H84" s="151"/>
      <c r="I84" s="151"/>
      <c r="J84" s="152"/>
      <c r="K84" s="152"/>
    </row>
    <row r="85" spans="2:11" ht="25" customHeight="1" x14ac:dyDescent="0.35">
      <c r="B85" s="149"/>
      <c r="C85" s="149"/>
      <c r="D85" s="149"/>
      <c r="E85" s="149"/>
      <c r="F85" s="149"/>
      <c r="G85" s="153"/>
      <c r="H85" s="151"/>
      <c r="I85" s="151"/>
      <c r="J85" s="152"/>
      <c r="K85" s="152"/>
    </row>
    <row r="86" spans="2:11" ht="25" customHeight="1" x14ac:dyDescent="0.35">
      <c r="B86" s="149"/>
      <c r="C86" s="149"/>
      <c r="D86" s="149"/>
      <c r="E86" s="149"/>
      <c r="F86" s="149"/>
      <c r="G86" s="153"/>
      <c r="H86" s="151"/>
      <c r="I86" s="151"/>
      <c r="J86" s="152"/>
      <c r="K86" s="152"/>
    </row>
    <row r="87" spans="2:11" ht="25" customHeight="1" x14ac:dyDescent="0.35">
      <c r="B87" s="149"/>
      <c r="C87" s="149"/>
      <c r="D87" s="149"/>
      <c r="E87" s="149"/>
      <c r="F87" s="149"/>
      <c r="G87" s="153"/>
      <c r="H87" s="151"/>
      <c r="I87" s="151"/>
      <c r="J87" s="152"/>
      <c r="K87" s="152"/>
    </row>
    <row r="88" spans="2:11" ht="25" customHeight="1" x14ac:dyDescent="0.35">
      <c r="B88" s="149"/>
      <c r="C88" s="149"/>
      <c r="D88" s="149"/>
      <c r="E88" s="149"/>
      <c r="F88" s="149"/>
      <c r="G88" s="153"/>
      <c r="H88" s="151"/>
      <c r="I88" s="151"/>
      <c r="J88" s="152"/>
      <c r="K88" s="152"/>
    </row>
    <row r="89" spans="2:11" ht="25" customHeight="1" x14ac:dyDescent="0.35">
      <c r="B89" s="149"/>
      <c r="C89" s="149"/>
      <c r="D89" s="149"/>
      <c r="E89" s="149"/>
      <c r="F89" s="149"/>
      <c r="G89" s="153"/>
      <c r="H89" s="151"/>
      <c r="I89" s="151"/>
      <c r="J89" s="152"/>
      <c r="K89" s="152"/>
    </row>
    <row r="90" spans="2:11" ht="25" customHeight="1" x14ac:dyDescent="0.35">
      <c r="B90" s="149"/>
      <c r="C90" s="149"/>
      <c r="D90" s="149"/>
      <c r="E90" s="149"/>
      <c r="F90" s="149"/>
      <c r="G90" s="153"/>
      <c r="H90" s="151"/>
      <c r="I90" s="151"/>
      <c r="J90" s="152"/>
      <c r="K90" s="152"/>
    </row>
    <row r="91" spans="2:11" ht="25" customHeight="1" x14ac:dyDescent="0.35">
      <c r="B91" s="149"/>
      <c r="C91" s="149"/>
      <c r="D91" s="149"/>
      <c r="E91" s="149"/>
      <c r="F91" s="149"/>
      <c r="G91" s="153"/>
      <c r="H91" s="151"/>
      <c r="I91" s="151"/>
      <c r="J91" s="152"/>
      <c r="K91" s="152"/>
    </row>
    <row r="92" spans="2:11" ht="25" customHeight="1" x14ac:dyDescent="0.35">
      <c r="B92" s="149"/>
      <c r="C92" s="149"/>
      <c r="D92" s="149"/>
      <c r="E92" s="149"/>
      <c r="F92" s="149"/>
      <c r="G92" s="153"/>
      <c r="H92" s="151"/>
      <c r="I92" s="151"/>
      <c r="J92" s="152"/>
      <c r="K92" s="152"/>
    </row>
    <row r="93" spans="2:11" ht="25" customHeight="1" x14ac:dyDescent="0.35">
      <c r="B93" s="149"/>
      <c r="C93" s="149"/>
      <c r="D93" s="149"/>
      <c r="E93" s="149"/>
      <c r="F93" s="149"/>
      <c r="G93" s="153"/>
      <c r="H93" s="151"/>
      <c r="I93" s="151"/>
      <c r="J93" s="152"/>
      <c r="K93" s="152"/>
    </row>
    <row r="94" spans="2:11" ht="25" customHeight="1" x14ac:dyDescent="0.35">
      <c r="B94" s="149"/>
      <c r="C94" s="149"/>
      <c r="D94" s="149"/>
      <c r="E94" s="149"/>
      <c r="F94" s="149"/>
      <c r="G94" s="153"/>
      <c r="H94" s="151"/>
      <c r="I94" s="151"/>
      <c r="J94" s="152"/>
      <c r="K94" s="152"/>
    </row>
    <row r="95" spans="2:11" ht="25" customHeight="1" x14ac:dyDescent="0.35">
      <c r="B95" s="149"/>
      <c r="C95" s="149"/>
      <c r="D95" s="149"/>
      <c r="E95" s="149"/>
      <c r="F95" s="149"/>
      <c r="G95" s="153"/>
      <c r="H95" s="151"/>
      <c r="I95" s="151"/>
      <c r="J95" s="152"/>
      <c r="K95" s="152"/>
    </row>
    <row r="96" spans="2:11" ht="25" customHeight="1" x14ac:dyDescent="0.35">
      <c r="B96" s="149"/>
      <c r="C96" s="149"/>
      <c r="D96" s="149"/>
      <c r="E96" s="149"/>
      <c r="F96" s="149"/>
      <c r="G96" s="153"/>
      <c r="H96" s="151"/>
      <c r="I96" s="151"/>
      <c r="J96" s="152"/>
      <c r="K96" s="152"/>
    </row>
    <row r="97" spans="2:11" ht="25" customHeight="1" x14ac:dyDescent="0.35">
      <c r="B97" s="149"/>
      <c r="C97" s="149"/>
      <c r="D97" s="149"/>
      <c r="E97" s="149"/>
      <c r="F97" s="149"/>
      <c r="G97" s="153"/>
      <c r="H97" s="151"/>
      <c r="I97" s="151"/>
      <c r="J97" s="152"/>
      <c r="K97" s="152"/>
    </row>
    <row r="98" spans="2:11" ht="25" customHeight="1" x14ac:dyDescent="0.35">
      <c r="B98" s="149"/>
      <c r="C98" s="149"/>
      <c r="D98" s="149"/>
      <c r="E98" s="149"/>
      <c r="F98" s="149"/>
      <c r="G98" s="153"/>
      <c r="H98" s="151"/>
      <c r="I98" s="151"/>
      <c r="J98" s="152"/>
      <c r="K98" s="152"/>
    </row>
    <row r="99" spans="2:11" ht="25" customHeight="1" x14ac:dyDescent="0.35">
      <c r="B99" s="149"/>
      <c r="C99" s="149"/>
      <c r="D99" s="149"/>
      <c r="E99" s="149"/>
      <c r="F99" s="149"/>
      <c r="G99" s="153"/>
      <c r="H99" s="151"/>
      <c r="I99" s="151"/>
      <c r="J99" s="152"/>
      <c r="K99" s="152"/>
    </row>
    <row r="100" spans="2:11" ht="25" customHeight="1" x14ac:dyDescent="0.35">
      <c r="B100" s="149"/>
      <c r="C100" s="149"/>
      <c r="D100" s="149"/>
      <c r="E100" s="149"/>
      <c r="F100" s="149"/>
      <c r="G100" s="153"/>
      <c r="H100" s="151"/>
      <c r="I100" s="151"/>
      <c r="J100" s="152"/>
      <c r="K100" s="152"/>
    </row>
    <row r="101" spans="2:11" ht="25" customHeight="1" x14ac:dyDescent="0.35">
      <c r="B101" s="149"/>
      <c r="C101" s="149"/>
      <c r="D101" s="149"/>
      <c r="E101" s="149"/>
      <c r="F101" s="149"/>
      <c r="G101" s="153"/>
      <c r="H101" s="151"/>
      <c r="I101" s="151"/>
      <c r="J101" s="152"/>
      <c r="K101" s="152"/>
    </row>
    <row r="102" spans="2:11" ht="25" customHeight="1" x14ac:dyDescent="0.35">
      <c r="B102" s="149"/>
      <c r="C102" s="149"/>
      <c r="D102" s="149"/>
      <c r="E102" s="149"/>
      <c r="F102" s="149"/>
      <c r="G102" s="153"/>
      <c r="H102" s="151"/>
      <c r="I102" s="151"/>
      <c r="J102" s="152"/>
      <c r="K102" s="152"/>
    </row>
    <row r="103" spans="2:11" ht="25" customHeight="1" x14ac:dyDescent="0.35">
      <c r="B103" s="149"/>
      <c r="C103" s="149"/>
      <c r="D103" s="149"/>
      <c r="E103" s="149"/>
      <c r="F103" s="149"/>
      <c r="G103" s="153"/>
      <c r="H103" s="151"/>
      <c r="I103" s="151"/>
      <c r="J103" s="152"/>
      <c r="K103" s="152"/>
    </row>
    <row r="104" spans="2:11" ht="25" customHeight="1" x14ac:dyDescent="0.35">
      <c r="B104" s="149"/>
      <c r="C104" s="149"/>
      <c r="D104" s="149"/>
      <c r="E104" s="149"/>
      <c r="F104" s="149"/>
      <c r="G104" s="153"/>
      <c r="H104" s="151"/>
      <c r="I104" s="151"/>
      <c r="J104" s="152"/>
      <c r="K104" s="152"/>
    </row>
    <row r="105" spans="2:11" ht="25" customHeight="1" x14ac:dyDescent="0.35">
      <c r="B105" s="149"/>
      <c r="C105" s="149"/>
      <c r="D105" s="149"/>
      <c r="E105" s="149"/>
      <c r="F105" s="149"/>
      <c r="G105" s="153"/>
      <c r="H105" s="151"/>
      <c r="I105" s="151"/>
      <c r="J105" s="152"/>
      <c r="K105" s="152"/>
    </row>
    <row r="106" spans="2:11" ht="25" customHeight="1" x14ac:dyDescent="0.35">
      <c r="B106" s="149"/>
      <c r="C106" s="149"/>
      <c r="D106" s="149"/>
      <c r="E106" s="149"/>
      <c r="F106" s="149"/>
      <c r="G106" s="153"/>
      <c r="H106" s="151"/>
      <c r="I106" s="151"/>
      <c r="J106" s="152"/>
      <c r="K106" s="152"/>
    </row>
    <row r="107" spans="2:11" ht="25" customHeight="1" x14ac:dyDescent="0.35">
      <c r="B107" s="149"/>
      <c r="C107" s="149"/>
      <c r="D107" s="149"/>
      <c r="E107" s="149"/>
      <c r="F107" s="149"/>
      <c r="G107" s="153"/>
      <c r="H107" s="151"/>
      <c r="I107" s="151"/>
      <c r="J107" s="152"/>
      <c r="K107" s="152"/>
    </row>
    <row r="108" spans="2:11" ht="25" customHeight="1" x14ac:dyDescent="0.35">
      <c r="B108" s="149"/>
      <c r="C108" s="149"/>
      <c r="D108" s="149"/>
      <c r="E108" s="149"/>
      <c r="F108" s="149"/>
      <c r="G108" s="153"/>
      <c r="H108" s="151"/>
      <c r="I108" s="151"/>
      <c r="J108" s="152"/>
      <c r="K108" s="152"/>
    </row>
    <row r="109" spans="2:11" ht="25" customHeight="1" x14ac:dyDescent="0.35">
      <c r="B109" s="149"/>
      <c r="C109" s="149"/>
      <c r="D109" s="149"/>
      <c r="E109" s="149"/>
      <c r="F109" s="149"/>
      <c r="G109" s="153"/>
      <c r="H109" s="151"/>
      <c r="I109" s="151"/>
      <c r="J109" s="152"/>
      <c r="K109" s="152"/>
    </row>
    <row r="110" spans="2:11" ht="25" customHeight="1" x14ac:dyDescent="0.35">
      <c r="B110" s="149"/>
      <c r="C110" s="149"/>
      <c r="D110" s="149"/>
      <c r="E110" s="149"/>
      <c r="F110" s="149"/>
      <c r="G110" s="153"/>
      <c r="H110" s="151"/>
      <c r="I110" s="151"/>
      <c r="J110" s="152"/>
      <c r="K110" s="152"/>
    </row>
    <row r="111" spans="2:11" ht="25" customHeight="1" x14ac:dyDescent="0.35">
      <c r="B111" s="149"/>
      <c r="C111" s="149"/>
      <c r="D111" s="149"/>
      <c r="E111" s="149"/>
      <c r="F111" s="149"/>
      <c r="G111" s="153"/>
      <c r="H111" s="151"/>
      <c r="I111" s="151"/>
      <c r="J111" s="152"/>
      <c r="K111" s="152"/>
    </row>
    <row r="112" spans="2:11" ht="25" customHeight="1" x14ac:dyDescent="0.35">
      <c r="B112" s="149"/>
      <c r="C112" s="149"/>
      <c r="D112" s="149"/>
      <c r="E112" s="149"/>
      <c r="F112" s="149"/>
      <c r="G112" s="153"/>
      <c r="H112" s="151"/>
      <c r="I112" s="151"/>
      <c r="J112" s="152"/>
      <c r="K112" s="152"/>
    </row>
    <row r="113" spans="2:11" ht="25" customHeight="1" x14ac:dyDescent="0.35">
      <c r="B113" s="149"/>
      <c r="C113" s="149"/>
      <c r="D113" s="149"/>
      <c r="E113" s="149"/>
      <c r="F113" s="149"/>
      <c r="G113" s="153"/>
      <c r="H113" s="151"/>
      <c r="I113" s="151"/>
      <c r="J113" s="152"/>
      <c r="K113" s="152"/>
    </row>
    <row r="114" spans="2:11" ht="25" customHeight="1" x14ac:dyDescent="0.35">
      <c r="B114" s="149"/>
      <c r="C114" s="149"/>
      <c r="D114" s="149"/>
      <c r="E114" s="149"/>
      <c r="F114" s="149"/>
      <c r="G114" s="153"/>
      <c r="H114" s="151"/>
      <c r="I114" s="151"/>
      <c r="J114" s="152"/>
      <c r="K114" s="152"/>
    </row>
    <row r="115" spans="2:11" ht="25" customHeight="1" x14ac:dyDescent="0.35">
      <c r="B115" s="149"/>
      <c r="C115" s="149"/>
      <c r="D115" s="149"/>
      <c r="E115" s="149"/>
      <c r="F115" s="149"/>
      <c r="G115" s="153"/>
      <c r="H115" s="151"/>
      <c r="I115" s="151"/>
      <c r="J115" s="152"/>
      <c r="K115" s="152"/>
    </row>
    <row r="116" spans="2:11" ht="25" customHeight="1" x14ac:dyDescent="0.35">
      <c r="B116" s="149"/>
      <c r="C116" s="149"/>
      <c r="D116" s="149"/>
      <c r="E116" s="149"/>
      <c r="F116" s="149"/>
      <c r="G116" s="153"/>
      <c r="H116" s="151"/>
      <c r="I116" s="151"/>
      <c r="J116" s="152"/>
      <c r="K116" s="152"/>
    </row>
    <row r="117" spans="2:11" ht="25" customHeight="1" x14ac:dyDescent="0.35">
      <c r="B117" s="149"/>
      <c r="C117" s="149"/>
      <c r="D117" s="149"/>
      <c r="E117" s="149"/>
      <c r="F117" s="149"/>
      <c r="G117" s="153"/>
      <c r="H117" s="151"/>
      <c r="I117" s="151"/>
      <c r="J117" s="152"/>
      <c r="K117" s="152"/>
    </row>
    <row r="118" spans="2:11" ht="25" customHeight="1" x14ac:dyDescent="0.35">
      <c r="B118" s="149"/>
      <c r="C118" s="149"/>
      <c r="D118" s="149"/>
      <c r="E118" s="149"/>
      <c r="F118" s="149"/>
      <c r="G118" s="153"/>
      <c r="H118" s="151"/>
      <c r="I118" s="151"/>
      <c r="J118" s="152"/>
      <c r="K118" s="152"/>
    </row>
    <row r="119" spans="2:11" ht="25" customHeight="1" x14ac:dyDescent="0.35">
      <c r="B119" s="149"/>
      <c r="C119" s="149"/>
      <c r="D119" s="149"/>
      <c r="E119" s="149"/>
      <c r="F119" s="149"/>
      <c r="G119" s="153"/>
      <c r="H119" s="151"/>
      <c r="I119" s="151"/>
      <c r="J119" s="152"/>
      <c r="K119" s="152"/>
    </row>
    <row r="120" spans="2:11" ht="25" customHeight="1" x14ac:dyDescent="0.35">
      <c r="B120" s="149"/>
      <c r="C120" s="149"/>
      <c r="D120" s="149"/>
      <c r="E120" s="149"/>
      <c r="F120" s="149"/>
      <c r="G120" s="153"/>
      <c r="H120" s="151"/>
      <c r="I120" s="151"/>
      <c r="J120" s="152"/>
      <c r="K120" s="152"/>
    </row>
    <row r="121" spans="2:11" ht="25" customHeight="1" x14ac:dyDescent="0.35">
      <c r="B121" s="149"/>
      <c r="C121" s="149"/>
      <c r="D121" s="149"/>
      <c r="E121" s="149"/>
      <c r="F121" s="149"/>
      <c r="G121" s="153"/>
      <c r="H121" s="151"/>
      <c r="I121" s="151"/>
      <c r="J121" s="152"/>
      <c r="K121" s="152"/>
    </row>
    <row r="122" spans="2:11" ht="25" customHeight="1" x14ac:dyDescent="0.35">
      <c r="B122" s="149"/>
      <c r="C122" s="149"/>
      <c r="D122" s="149"/>
      <c r="E122" s="149"/>
      <c r="F122" s="149"/>
      <c r="G122" s="153"/>
      <c r="H122" s="151"/>
      <c r="I122" s="151"/>
      <c r="J122" s="152"/>
      <c r="K122" s="152"/>
    </row>
    <row r="123" spans="2:11" ht="25" customHeight="1" x14ac:dyDescent="0.35">
      <c r="B123" s="149"/>
      <c r="C123" s="149"/>
      <c r="D123" s="149"/>
      <c r="E123" s="149"/>
      <c r="F123" s="149"/>
      <c r="G123" s="153"/>
      <c r="H123" s="151"/>
      <c r="I123" s="151"/>
      <c r="J123" s="152"/>
      <c r="K123" s="152"/>
    </row>
    <row r="124" spans="2:11" ht="25" customHeight="1" x14ac:dyDescent="0.35">
      <c r="B124" s="149"/>
      <c r="C124" s="149"/>
      <c r="D124" s="149"/>
      <c r="E124" s="149"/>
      <c r="F124" s="149"/>
      <c r="G124" s="153"/>
      <c r="H124" s="151"/>
      <c r="I124" s="151"/>
      <c r="J124" s="152"/>
      <c r="K124" s="152"/>
    </row>
    <row r="125" spans="2:11" ht="25" customHeight="1" x14ac:dyDescent="0.35">
      <c r="B125" s="149"/>
      <c r="C125" s="149"/>
      <c r="D125" s="149"/>
      <c r="E125" s="149"/>
      <c r="F125" s="149"/>
      <c r="G125" s="153"/>
      <c r="H125" s="151"/>
      <c r="I125" s="151"/>
      <c r="J125" s="152"/>
      <c r="K125" s="152"/>
    </row>
    <row r="126" spans="2:11" ht="25" customHeight="1" x14ac:dyDescent="0.35">
      <c r="B126" s="149"/>
      <c r="C126" s="149"/>
      <c r="D126" s="149"/>
      <c r="E126" s="149"/>
      <c r="F126" s="149"/>
      <c r="G126" s="153"/>
      <c r="H126" s="151"/>
      <c r="I126" s="151"/>
      <c r="J126" s="152"/>
      <c r="K126" s="152"/>
    </row>
    <row r="127" spans="2:11" ht="25" customHeight="1" x14ac:dyDescent="0.35">
      <c r="B127" s="149"/>
      <c r="C127" s="149"/>
      <c r="D127" s="149"/>
      <c r="E127" s="149"/>
      <c r="F127" s="149"/>
      <c r="G127" s="153"/>
      <c r="H127" s="151"/>
      <c r="I127" s="151"/>
      <c r="J127" s="152"/>
      <c r="K127" s="152"/>
    </row>
    <row r="128" spans="2:11" ht="25" customHeight="1" x14ac:dyDescent="0.35">
      <c r="B128" s="149"/>
      <c r="C128" s="149"/>
      <c r="D128" s="149"/>
      <c r="E128" s="149"/>
      <c r="F128" s="149"/>
      <c r="G128" s="153"/>
      <c r="H128" s="151"/>
      <c r="I128" s="151"/>
      <c r="J128" s="152"/>
      <c r="K128" s="152"/>
    </row>
    <row r="129" spans="2:11" ht="25" customHeight="1" x14ac:dyDescent="0.35">
      <c r="B129" s="149"/>
      <c r="C129" s="149"/>
      <c r="D129" s="149"/>
      <c r="E129" s="149"/>
      <c r="F129" s="149"/>
      <c r="G129" s="153"/>
      <c r="H129" s="151"/>
      <c r="I129" s="151"/>
      <c r="J129" s="152"/>
      <c r="K129" s="152"/>
    </row>
    <row r="130" spans="2:11" ht="25" customHeight="1" x14ac:dyDescent="0.35">
      <c r="B130" s="149"/>
      <c r="C130" s="149"/>
      <c r="D130" s="149"/>
      <c r="E130" s="149"/>
      <c r="F130" s="149"/>
      <c r="G130" s="153"/>
      <c r="H130" s="151"/>
      <c r="I130" s="151"/>
      <c r="J130" s="152"/>
      <c r="K130" s="152"/>
    </row>
    <row r="131" spans="2:11" ht="25" customHeight="1" x14ac:dyDescent="0.35">
      <c r="B131" s="149"/>
      <c r="C131" s="149"/>
      <c r="D131" s="149"/>
      <c r="E131" s="149"/>
      <c r="F131" s="149"/>
      <c r="G131" s="153"/>
      <c r="H131" s="151"/>
      <c r="I131" s="151"/>
      <c r="J131" s="152"/>
      <c r="K131" s="152"/>
    </row>
    <row r="132" spans="2:11" ht="25" customHeight="1" x14ac:dyDescent="0.35">
      <c r="B132" s="149"/>
      <c r="C132" s="149"/>
      <c r="D132" s="149"/>
      <c r="E132" s="149"/>
      <c r="F132" s="149"/>
      <c r="G132" s="153"/>
      <c r="H132" s="151"/>
      <c r="I132" s="151"/>
      <c r="J132" s="152"/>
      <c r="K132" s="152"/>
    </row>
    <row r="133" spans="2:11" ht="25" customHeight="1" x14ac:dyDescent="0.35">
      <c r="B133" s="149"/>
      <c r="C133" s="149"/>
      <c r="D133" s="149"/>
      <c r="E133" s="149"/>
      <c r="F133" s="149"/>
      <c r="G133" s="153"/>
      <c r="H133" s="151"/>
      <c r="I133" s="151"/>
      <c r="J133" s="152"/>
      <c r="K133" s="152"/>
    </row>
    <row r="134" spans="2:11" ht="25" customHeight="1" x14ac:dyDescent="0.35">
      <c r="B134" s="149"/>
      <c r="C134" s="149"/>
      <c r="D134" s="149"/>
      <c r="E134" s="149"/>
      <c r="F134" s="149"/>
      <c r="G134" s="153"/>
      <c r="H134" s="151"/>
      <c r="I134" s="151"/>
      <c r="J134" s="152"/>
      <c r="K134" s="152"/>
    </row>
    <row r="135" spans="2:11" ht="25" customHeight="1" x14ac:dyDescent="0.35">
      <c r="B135" s="149"/>
      <c r="C135" s="149"/>
      <c r="D135" s="149"/>
      <c r="E135" s="149"/>
      <c r="F135" s="149"/>
      <c r="G135" s="153"/>
      <c r="H135" s="151"/>
      <c r="I135" s="151"/>
      <c r="J135" s="152"/>
      <c r="K135" s="152"/>
    </row>
    <row r="136" spans="2:11" ht="25" customHeight="1" x14ac:dyDescent="0.35">
      <c r="B136" s="149"/>
      <c r="C136" s="149"/>
      <c r="D136" s="149"/>
      <c r="E136" s="149"/>
      <c r="F136" s="149"/>
      <c r="G136" s="153"/>
      <c r="H136" s="151"/>
      <c r="I136" s="151"/>
      <c r="J136" s="152"/>
      <c r="K136" s="152"/>
    </row>
    <row r="137" spans="2:11" ht="25" customHeight="1" x14ac:dyDescent="0.35">
      <c r="B137" s="149"/>
      <c r="C137" s="149"/>
      <c r="D137" s="149"/>
      <c r="E137" s="149"/>
      <c r="F137" s="149"/>
      <c r="G137" s="153"/>
      <c r="H137" s="151"/>
      <c r="I137" s="151"/>
      <c r="J137" s="152"/>
      <c r="K137" s="152"/>
    </row>
    <row r="138" spans="2:11" ht="25" customHeight="1" x14ac:dyDescent="0.35">
      <c r="B138" s="149"/>
      <c r="C138" s="149"/>
      <c r="D138" s="149"/>
      <c r="E138" s="149"/>
      <c r="F138" s="149"/>
      <c r="G138" s="153"/>
      <c r="H138" s="151"/>
      <c r="I138" s="151"/>
      <c r="J138" s="152"/>
      <c r="K138" s="152"/>
    </row>
    <row r="139" spans="2:11" ht="25" customHeight="1" x14ac:dyDescent="0.35">
      <c r="B139" s="149"/>
      <c r="C139" s="149"/>
      <c r="D139" s="149"/>
      <c r="E139" s="149"/>
      <c r="F139" s="149"/>
      <c r="G139" s="153"/>
      <c r="H139" s="151"/>
      <c r="I139" s="151"/>
      <c r="J139" s="152"/>
      <c r="K139" s="152"/>
    </row>
    <row r="140" spans="2:11" ht="25" customHeight="1" x14ac:dyDescent="0.35">
      <c r="B140" s="149"/>
      <c r="C140" s="149"/>
      <c r="D140" s="149"/>
      <c r="E140" s="149"/>
      <c r="F140" s="149"/>
      <c r="G140" s="153"/>
      <c r="H140" s="151"/>
      <c r="I140" s="151"/>
      <c r="J140" s="152"/>
      <c r="K140" s="152"/>
    </row>
    <row r="141" spans="2:11" ht="25" customHeight="1" x14ac:dyDescent="0.35">
      <c r="B141" s="149"/>
      <c r="C141" s="149"/>
      <c r="D141" s="149"/>
      <c r="E141" s="149"/>
      <c r="F141" s="149"/>
      <c r="G141" s="153"/>
      <c r="H141" s="151"/>
      <c r="I141" s="151"/>
      <c r="J141" s="152"/>
      <c r="K141" s="152"/>
    </row>
    <row r="142" spans="2:11" ht="25" customHeight="1" x14ac:dyDescent="0.35">
      <c r="B142" s="149"/>
      <c r="C142" s="149"/>
      <c r="D142" s="149"/>
      <c r="E142" s="149"/>
      <c r="F142" s="149"/>
      <c r="G142" s="153"/>
      <c r="H142" s="151"/>
      <c r="I142" s="151"/>
      <c r="J142" s="152"/>
      <c r="K142" s="152"/>
    </row>
    <row r="143" spans="2:11" ht="25" customHeight="1" x14ac:dyDescent="0.35">
      <c r="B143" s="149"/>
      <c r="C143" s="149"/>
      <c r="D143" s="149"/>
      <c r="E143" s="149"/>
      <c r="F143" s="149"/>
      <c r="G143" s="153"/>
      <c r="H143" s="151"/>
      <c r="I143" s="151"/>
      <c r="J143" s="152"/>
      <c r="K143" s="152"/>
    </row>
    <row r="144" spans="2:11" ht="25" customHeight="1" x14ac:dyDescent="0.35">
      <c r="B144" s="149"/>
      <c r="C144" s="149"/>
      <c r="D144" s="149"/>
      <c r="E144" s="149"/>
      <c r="F144" s="149"/>
      <c r="G144" s="153"/>
      <c r="H144" s="151"/>
      <c r="I144" s="151"/>
      <c r="J144" s="152"/>
      <c r="K144" s="152"/>
    </row>
    <row r="145" spans="2:11" ht="25" customHeight="1" x14ac:dyDescent="0.35">
      <c r="B145" s="149"/>
      <c r="C145" s="149"/>
      <c r="D145" s="149"/>
      <c r="E145" s="149"/>
      <c r="F145" s="149"/>
      <c r="G145" s="153"/>
      <c r="H145" s="151"/>
      <c r="I145" s="151"/>
      <c r="J145" s="152"/>
      <c r="K145" s="152"/>
    </row>
    <row r="146" spans="2:11" ht="25" customHeight="1" x14ac:dyDescent="0.35">
      <c r="B146" s="149"/>
      <c r="C146" s="149"/>
      <c r="D146" s="149"/>
      <c r="E146" s="149"/>
      <c r="F146" s="149"/>
      <c r="G146" s="153"/>
      <c r="H146" s="151"/>
      <c r="I146" s="151"/>
      <c r="J146" s="152"/>
      <c r="K146" s="152"/>
    </row>
    <row r="147" spans="2:11" ht="25" customHeight="1" x14ac:dyDescent="0.35">
      <c r="B147" s="149"/>
      <c r="C147" s="149"/>
      <c r="D147" s="149"/>
      <c r="E147" s="149"/>
      <c r="F147" s="149"/>
      <c r="G147" s="153"/>
      <c r="H147" s="151"/>
      <c r="I147" s="151"/>
      <c r="J147" s="152"/>
      <c r="K147" s="152"/>
    </row>
    <row r="148" spans="2:11" ht="25" customHeight="1" x14ac:dyDescent="0.35">
      <c r="B148" s="149"/>
      <c r="C148" s="149"/>
      <c r="D148" s="149"/>
      <c r="E148" s="149"/>
      <c r="F148" s="149"/>
      <c r="G148" s="153"/>
      <c r="H148" s="151"/>
      <c r="I148" s="151"/>
      <c r="J148" s="152"/>
      <c r="K148" s="152"/>
    </row>
    <row r="149" spans="2:11" ht="25" customHeight="1" x14ac:dyDescent="0.35">
      <c r="B149" s="149"/>
      <c r="C149" s="149"/>
      <c r="D149" s="149"/>
      <c r="E149" s="149"/>
      <c r="F149" s="149"/>
      <c r="G149" s="153"/>
      <c r="H149" s="151"/>
      <c r="I149" s="151"/>
      <c r="J149" s="152"/>
      <c r="K149" s="152"/>
    </row>
    <row r="150" spans="2:11" ht="25" customHeight="1" x14ac:dyDescent="0.35">
      <c r="B150" s="149"/>
      <c r="C150" s="149"/>
      <c r="D150" s="149"/>
      <c r="E150" s="149"/>
      <c r="F150" s="149"/>
      <c r="G150" s="153"/>
      <c r="H150" s="151"/>
      <c r="I150" s="151"/>
      <c r="J150" s="152"/>
      <c r="K150" s="152"/>
    </row>
    <row r="151" spans="2:11" ht="25" customHeight="1" x14ac:dyDescent="0.35">
      <c r="B151" s="149"/>
      <c r="C151" s="149"/>
      <c r="D151" s="149"/>
      <c r="E151" s="149"/>
      <c r="F151" s="149"/>
      <c r="G151" s="153"/>
      <c r="H151" s="151"/>
      <c r="I151" s="151"/>
      <c r="J151" s="152"/>
      <c r="K151" s="152"/>
    </row>
    <row r="152" spans="2:11" ht="25" customHeight="1" x14ac:dyDescent="0.35">
      <c r="B152" s="149"/>
      <c r="C152" s="149"/>
      <c r="D152" s="149"/>
      <c r="E152" s="149"/>
      <c r="F152" s="149"/>
      <c r="G152" s="153"/>
      <c r="H152" s="151"/>
      <c r="I152" s="151"/>
      <c r="J152" s="152"/>
      <c r="K152" s="152"/>
    </row>
    <row r="153" spans="2:11" ht="25" customHeight="1" x14ac:dyDescent="0.35">
      <c r="B153" s="149"/>
      <c r="C153" s="149"/>
      <c r="D153" s="149"/>
      <c r="E153" s="149"/>
      <c r="F153" s="149"/>
      <c r="G153" s="153"/>
      <c r="H153" s="151"/>
      <c r="I153" s="151"/>
      <c r="J153" s="152"/>
      <c r="K153" s="152"/>
    </row>
    <row r="154" spans="2:11" ht="25" customHeight="1" x14ac:dyDescent="0.35">
      <c r="B154" s="149"/>
      <c r="C154" s="149"/>
      <c r="D154" s="149"/>
      <c r="E154" s="149"/>
      <c r="F154" s="149"/>
      <c r="G154" s="153"/>
      <c r="H154" s="151"/>
      <c r="I154" s="151"/>
      <c r="J154" s="152"/>
      <c r="K154" s="152"/>
    </row>
    <row r="155" spans="2:11" ht="25" customHeight="1" x14ac:dyDescent="0.35">
      <c r="B155" s="149"/>
      <c r="C155" s="149"/>
      <c r="D155" s="149"/>
      <c r="E155" s="149"/>
      <c r="F155" s="149"/>
      <c r="G155" s="153"/>
      <c r="H155" s="151"/>
      <c r="I155" s="151"/>
      <c r="J155" s="152"/>
      <c r="K155" s="152"/>
    </row>
    <row r="156" spans="2:11" ht="25" customHeight="1" x14ac:dyDescent="0.35">
      <c r="B156" s="149"/>
      <c r="C156" s="149"/>
      <c r="D156" s="149"/>
      <c r="E156" s="149"/>
      <c r="F156" s="149"/>
      <c r="G156" s="153"/>
      <c r="H156" s="151"/>
      <c r="I156" s="151"/>
      <c r="J156" s="152"/>
      <c r="K156" s="152"/>
    </row>
    <row r="157" spans="2:11" ht="25" customHeight="1" x14ac:dyDescent="0.35">
      <c r="B157" s="149"/>
      <c r="C157" s="149"/>
      <c r="D157" s="149"/>
      <c r="E157" s="149"/>
      <c r="F157" s="149"/>
      <c r="G157" s="153"/>
      <c r="H157" s="151"/>
      <c r="I157" s="151"/>
      <c r="J157" s="152"/>
      <c r="K157" s="152"/>
    </row>
    <row r="158" spans="2:11" ht="25" customHeight="1" x14ac:dyDescent="0.35">
      <c r="B158" s="149"/>
      <c r="C158" s="149"/>
      <c r="D158" s="149"/>
      <c r="E158" s="149"/>
      <c r="F158" s="149"/>
      <c r="G158" s="153"/>
      <c r="H158" s="151"/>
      <c r="I158" s="151"/>
      <c r="J158" s="152"/>
      <c r="K158" s="152"/>
    </row>
    <row r="159" spans="2:11" ht="25" customHeight="1" x14ac:dyDescent="0.35">
      <c r="B159" s="149"/>
      <c r="C159" s="149"/>
      <c r="D159" s="149"/>
      <c r="E159" s="149"/>
      <c r="F159" s="149"/>
      <c r="G159" s="153"/>
      <c r="H159" s="151"/>
      <c r="I159" s="151"/>
      <c r="J159" s="152"/>
      <c r="K159" s="152"/>
    </row>
    <row r="160" spans="2:11" ht="25" customHeight="1" x14ac:dyDescent="0.35">
      <c r="B160" s="149"/>
      <c r="C160" s="149"/>
      <c r="D160" s="149"/>
      <c r="E160" s="149"/>
      <c r="F160" s="149"/>
      <c r="G160" s="153"/>
      <c r="H160" s="151"/>
      <c r="I160" s="151"/>
      <c r="J160" s="152"/>
      <c r="K160" s="152"/>
    </row>
    <row r="161" spans="2:11" ht="25" customHeight="1" x14ac:dyDescent="0.35">
      <c r="B161" s="149"/>
      <c r="C161" s="149"/>
      <c r="D161" s="149"/>
      <c r="E161" s="149"/>
      <c r="F161" s="149"/>
      <c r="G161" s="153"/>
      <c r="H161" s="151"/>
      <c r="I161" s="151"/>
      <c r="J161" s="152"/>
      <c r="K161" s="152"/>
    </row>
    <row r="162" spans="2:11" ht="25" customHeight="1" x14ac:dyDescent="0.35">
      <c r="B162" s="149"/>
      <c r="C162" s="149"/>
      <c r="D162" s="149"/>
      <c r="E162" s="149"/>
      <c r="F162" s="149"/>
      <c r="G162" s="153"/>
      <c r="H162" s="151"/>
      <c r="I162" s="151"/>
      <c r="J162" s="152"/>
      <c r="K162" s="152"/>
    </row>
    <row r="163" spans="2:11" ht="25" customHeight="1" x14ac:dyDescent="0.35">
      <c r="B163" s="149"/>
      <c r="C163" s="149"/>
      <c r="D163" s="149"/>
      <c r="E163" s="149"/>
      <c r="F163" s="149"/>
      <c r="G163" s="153"/>
      <c r="H163" s="151"/>
      <c r="I163" s="151"/>
      <c r="J163" s="152"/>
      <c r="K163" s="152"/>
    </row>
    <row r="164" spans="2:11" ht="25" customHeight="1" x14ac:dyDescent="0.35">
      <c r="B164" s="149"/>
      <c r="C164" s="149"/>
      <c r="D164" s="149"/>
      <c r="E164" s="149"/>
      <c r="F164" s="149"/>
      <c r="G164" s="153"/>
      <c r="H164" s="151"/>
      <c r="I164" s="151"/>
      <c r="J164" s="152"/>
      <c r="K164" s="152"/>
    </row>
    <row r="165" spans="2:11" ht="25" customHeight="1" x14ac:dyDescent="0.35">
      <c r="B165" s="149"/>
      <c r="C165" s="149"/>
      <c r="D165" s="149"/>
      <c r="E165" s="149"/>
      <c r="F165" s="149"/>
      <c r="G165" s="153"/>
      <c r="H165" s="151"/>
      <c r="I165" s="151"/>
      <c r="J165" s="152"/>
      <c r="K165" s="152"/>
    </row>
    <row r="166" spans="2:11" ht="25" customHeight="1" x14ac:dyDescent="0.35">
      <c r="B166" s="149"/>
      <c r="C166" s="149"/>
      <c r="D166" s="149"/>
      <c r="E166" s="149"/>
      <c r="F166" s="149"/>
      <c r="G166" s="153"/>
      <c r="H166" s="151"/>
      <c r="I166" s="151"/>
      <c r="J166" s="152"/>
      <c r="K166" s="152"/>
    </row>
    <row r="167" spans="2:11" ht="25" customHeight="1" x14ac:dyDescent="0.35">
      <c r="B167" s="149"/>
      <c r="C167" s="149"/>
      <c r="D167" s="149"/>
      <c r="E167" s="149"/>
      <c r="F167" s="149"/>
      <c r="G167" s="153"/>
      <c r="H167" s="151"/>
      <c r="I167" s="151"/>
      <c r="J167" s="152"/>
      <c r="K167" s="152"/>
    </row>
    <row r="168" spans="2:11" ht="25" customHeight="1" x14ac:dyDescent="0.35">
      <c r="B168" s="149"/>
      <c r="C168" s="149"/>
      <c r="D168" s="149"/>
      <c r="E168" s="149"/>
      <c r="F168" s="149"/>
      <c r="G168" s="153"/>
      <c r="H168" s="151"/>
      <c r="I168" s="151"/>
      <c r="J168" s="152"/>
      <c r="K168" s="152"/>
    </row>
    <row r="169" spans="2:11" ht="25" customHeight="1" x14ac:dyDescent="0.35">
      <c r="B169" s="149"/>
      <c r="C169" s="149"/>
      <c r="D169" s="149"/>
      <c r="E169" s="149"/>
      <c r="F169" s="149"/>
      <c r="G169" s="153"/>
      <c r="H169" s="151"/>
      <c r="I169" s="151"/>
      <c r="J169" s="152"/>
      <c r="K169" s="152"/>
    </row>
    <row r="170" spans="2:11" ht="25" customHeight="1" x14ac:dyDescent="0.35">
      <c r="B170" s="149"/>
      <c r="C170" s="149"/>
      <c r="D170" s="149"/>
      <c r="E170" s="149"/>
      <c r="F170" s="149"/>
      <c r="G170" s="153"/>
      <c r="H170" s="151"/>
      <c r="I170" s="151"/>
      <c r="J170" s="152"/>
      <c r="K170" s="152"/>
    </row>
    <row r="171" spans="2:11" ht="25" customHeight="1" x14ac:dyDescent="0.35">
      <c r="B171" s="149"/>
      <c r="C171" s="149"/>
      <c r="D171" s="149"/>
      <c r="E171" s="149"/>
      <c r="F171" s="149"/>
      <c r="G171" s="153"/>
      <c r="H171" s="151"/>
      <c r="I171" s="151"/>
      <c r="J171" s="152"/>
      <c r="K171" s="152"/>
    </row>
    <row r="172" spans="2:11" ht="25" customHeight="1" x14ac:dyDescent="0.35">
      <c r="B172" s="149"/>
      <c r="C172" s="149"/>
      <c r="D172" s="149"/>
      <c r="E172" s="149"/>
      <c r="F172" s="149"/>
      <c r="G172" s="153"/>
      <c r="H172" s="151"/>
      <c r="I172" s="151"/>
      <c r="J172" s="152"/>
      <c r="K172" s="152"/>
    </row>
    <row r="173" spans="2:11" ht="25" customHeight="1" x14ac:dyDescent="0.35">
      <c r="B173" s="149"/>
      <c r="C173" s="149"/>
      <c r="D173" s="149"/>
      <c r="E173" s="149"/>
      <c r="F173" s="149"/>
      <c r="G173" s="153"/>
      <c r="H173" s="151"/>
      <c r="I173" s="151"/>
      <c r="J173" s="152"/>
      <c r="K173" s="152"/>
    </row>
    <row r="174" spans="2:11" ht="25" customHeight="1" x14ac:dyDescent="0.35">
      <c r="B174" s="149"/>
      <c r="C174" s="149"/>
      <c r="D174" s="149"/>
      <c r="E174" s="149"/>
      <c r="F174" s="149"/>
      <c r="G174" s="153"/>
      <c r="H174" s="151"/>
      <c r="I174" s="151"/>
      <c r="J174" s="152"/>
      <c r="K174" s="152"/>
    </row>
    <row r="175" spans="2:11" ht="25" customHeight="1" x14ac:dyDescent="0.35">
      <c r="B175" s="149"/>
      <c r="C175" s="149"/>
      <c r="D175" s="149"/>
      <c r="E175" s="149"/>
      <c r="F175" s="149"/>
      <c r="G175" s="153"/>
      <c r="H175" s="151"/>
      <c r="I175" s="151"/>
      <c r="J175" s="152"/>
      <c r="K175" s="152"/>
    </row>
    <row r="176" spans="2:11" ht="25" customHeight="1" x14ac:dyDescent="0.35">
      <c r="B176" s="149"/>
      <c r="C176" s="149"/>
      <c r="D176" s="149"/>
      <c r="E176" s="149"/>
      <c r="F176" s="149"/>
      <c r="G176" s="153"/>
      <c r="H176" s="151"/>
      <c r="I176" s="151"/>
      <c r="J176" s="152"/>
      <c r="K176" s="152"/>
    </row>
    <row r="177" spans="2:11" ht="25" customHeight="1" x14ac:dyDescent="0.35">
      <c r="B177" s="149"/>
      <c r="C177" s="149"/>
      <c r="D177" s="149"/>
      <c r="E177" s="149"/>
      <c r="F177" s="149"/>
      <c r="G177" s="153"/>
      <c r="H177" s="151"/>
      <c r="I177" s="151"/>
      <c r="J177" s="152"/>
      <c r="K177" s="152"/>
    </row>
    <row r="178" spans="2:11" ht="25" customHeight="1" x14ac:dyDescent="0.35">
      <c r="B178" s="149"/>
      <c r="C178" s="149"/>
      <c r="D178" s="149"/>
      <c r="E178" s="149"/>
      <c r="F178" s="149"/>
      <c r="G178" s="153"/>
      <c r="H178" s="151"/>
      <c r="I178" s="151"/>
      <c r="J178" s="152"/>
      <c r="K178" s="152"/>
    </row>
    <row r="179" spans="2:11" ht="25" customHeight="1" x14ac:dyDescent="0.35">
      <c r="B179" s="149"/>
      <c r="C179" s="149"/>
      <c r="D179" s="149"/>
      <c r="E179" s="149"/>
      <c r="F179" s="149"/>
      <c r="G179" s="153"/>
      <c r="H179" s="151"/>
      <c r="I179" s="151"/>
      <c r="J179" s="152"/>
      <c r="K179" s="152"/>
    </row>
    <row r="180" spans="2:11" ht="25" customHeight="1" x14ac:dyDescent="0.35">
      <c r="B180" s="149"/>
      <c r="C180" s="149"/>
      <c r="D180" s="149"/>
      <c r="E180" s="149"/>
      <c r="F180" s="149"/>
      <c r="G180" s="153"/>
      <c r="H180" s="151"/>
      <c r="I180" s="151"/>
      <c r="J180" s="152"/>
      <c r="K180" s="152"/>
    </row>
    <row r="181" spans="2:11" ht="25" customHeight="1" x14ac:dyDescent="0.35">
      <c r="B181" s="149"/>
      <c r="C181" s="149"/>
      <c r="D181" s="149"/>
      <c r="E181" s="149"/>
      <c r="F181" s="149"/>
      <c r="G181" s="153"/>
      <c r="H181" s="151"/>
      <c r="I181" s="151"/>
      <c r="J181" s="152"/>
      <c r="K181" s="152"/>
    </row>
    <row r="182" spans="2:11" ht="25" customHeight="1" x14ac:dyDescent="0.35">
      <c r="B182" s="149"/>
      <c r="C182" s="149"/>
      <c r="D182" s="149"/>
      <c r="E182" s="149"/>
      <c r="F182" s="149"/>
      <c r="G182" s="153"/>
      <c r="H182" s="151"/>
      <c r="I182" s="151"/>
      <c r="J182" s="152"/>
      <c r="K182" s="152"/>
    </row>
    <row r="183" spans="2:11" ht="25" customHeight="1" x14ac:dyDescent="0.35">
      <c r="B183" s="149"/>
      <c r="C183" s="149"/>
      <c r="D183" s="149"/>
      <c r="E183" s="149"/>
      <c r="F183" s="149"/>
      <c r="G183" s="153"/>
      <c r="H183" s="151"/>
      <c r="I183" s="151"/>
      <c r="J183" s="152"/>
      <c r="K183" s="152"/>
    </row>
    <row r="184" spans="2:11" ht="25" customHeight="1" x14ac:dyDescent="0.35">
      <c r="B184" s="149"/>
      <c r="C184" s="149"/>
      <c r="D184" s="149"/>
      <c r="E184" s="149"/>
      <c r="F184" s="149"/>
      <c r="G184" s="153"/>
      <c r="H184" s="151"/>
      <c r="I184" s="151"/>
      <c r="J184" s="152"/>
      <c r="K184" s="152"/>
    </row>
    <row r="185" spans="2:11" ht="25" customHeight="1" x14ac:dyDescent="0.35">
      <c r="B185" s="149"/>
      <c r="C185" s="149"/>
      <c r="D185" s="149"/>
      <c r="E185" s="149"/>
      <c r="F185" s="149"/>
      <c r="G185" s="153"/>
      <c r="H185" s="151"/>
      <c r="I185" s="151"/>
      <c r="J185" s="152"/>
      <c r="K185" s="152"/>
    </row>
    <row r="186" spans="2:11" ht="25" customHeight="1" x14ac:dyDescent="0.35">
      <c r="B186" s="149"/>
      <c r="C186" s="149"/>
      <c r="D186" s="149"/>
      <c r="E186" s="149"/>
      <c r="F186" s="149"/>
      <c r="G186" s="153"/>
      <c r="H186" s="151"/>
      <c r="I186" s="151"/>
      <c r="J186" s="152"/>
      <c r="K186" s="152"/>
    </row>
    <row r="187" spans="2:11" ht="25" customHeight="1" x14ac:dyDescent="0.35">
      <c r="B187" s="149"/>
      <c r="C187" s="149"/>
      <c r="D187" s="149"/>
      <c r="E187" s="149"/>
      <c r="F187" s="149"/>
      <c r="G187" s="153"/>
      <c r="H187" s="151"/>
      <c r="I187" s="151"/>
      <c r="J187" s="152"/>
      <c r="K187" s="152"/>
    </row>
    <row r="188" spans="2:11" ht="25" customHeight="1" x14ac:dyDescent="0.35">
      <c r="B188" s="149"/>
      <c r="C188" s="149"/>
      <c r="D188" s="149"/>
      <c r="E188" s="149"/>
      <c r="F188" s="149"/>
      <c r="G188" s="153"/>
      <c r="H188" s="151"/>
      <c r="I188" s="151"/>
      <c r="J188" s="152"/>
      <c r="K188" s="152"/>
    </row>
    <row r="189" spans="2:11" ht="25" customHeight="1" x14ac:dyDescent="0.35">
      <c r="B189" s="149"/>
      <c r="C189" s="149"/>
      <c r="D189" s="149"/>
      <c r="E189" s="149"/>
      <c r="F189" s="149"/>
      <c r="G189" s="153"/>
      <c r="H189" s="151"/>
      <c r="I189" s="151"/>
      <c r="J189" s="152"/>
      <c r="K189" s="152"/>
    </row>
    <row r="190" spans="2:11" ht="25" customHeight="1" x14ac:dyDescent="0.35">
      <c r="B190" s="149"/>
      <c r="C190" s="149"/>
      <c r="D190" s="149"/>
      <c r="E190" s="149"/>
      <c r="F190" s="149"/>
      <c r="G190" s="153"/>
      <c r="H190" s="151"/>
      <c r="I190" s="151"/>
      <c r="J190" s="152"/>
      <c r="K190" s="152"/>
    </row>
    <row r="191" spans="2:11" ht="25" customHeight="1" x14ac:dyDescent="0.35">
      <c r="B191" s="149"/>
      <c r="C191" s="149"/>
      <c r="D191" s="149"/>
      <c r="E191" s="149"/>
      <c r="F191" s="149"/>
      <c r="G191" s="153"/>
      <c r="H191" s="151"/>
      <c r="I191" s="151"/>
      <c r="J191" s="152"/>
      <c r="K191" s="152"/>
    </row>
    <row r="192" spans="2:11" ht="25" customHeight="1" x14ac:dyDescent="0.35">
      <c r="B192" s="149"/>
      <c r="C192" s="149"/>
      <c r="D192" s="149"/>
      <c r="E192" s="149"/>
      <c r="F192" s="149"/>
      <c r="G192" s="153"/>
      <c r="H192" s="151"/>
      <c r="I192" s="151"/>
      <c r="J192" s="152"/>
      <c r="K192" s="152"/>
    </row>
    <row r="193" spans="2:11" ht="25" customHeight="1" x14ac:dyDescent="0.35">
      <c r="B193" s="149"/>
      <c r="C193" s="149"/>
      <c r="D193" s="149"/>
      <c r="E193" s="149"/>
      <c r="F193" s="149"/>
      <c r="G193" s="153"/>
      <c r="H193" s="151"/>
      <c r="I193" s="151"/>
      <c r="J193" s="152"/>
      <c r="K193" s="152"/>
    </row>
    <row r="194" spans="2:11" ht="25" customHeight="1" x14ac:dyDescent="0.35">
      <c r="B194" s="149"/>
      <c r="C194" s="149"/>
      <c r="D194" s="149"/>
      <c r="E194" s="149"/>
      <c r="F194" s="149"/>
      <c r="G194" s="153"/>
      <c r="H194" s="151"/>
      <c r="I194" s="151"/>
      <c r="J194" s="152"/>
      <c r="K194" s="152"/>
    </row>
    <row r="195" spans="2:11" ht="25" customHeight="1" x14ac:dyDescent="0.35">
      <c r="B195" s="149"/>
      <c r="C195" s="149"/>
      <c r="D195" s="149"/>
      <c r="E195" s="149"/>
      <c r="F195" s="149"/>
      <c r="G195" s="153"/>
      <c r="H195" s="151"/>
      <c r="I195" s="151"/>
      <c r="J195" s="152"/>
      <c r="K195" s="152"/>
    </row>
    <row r="196" spans="2:11" ht="25" customHeight="1" x14ac:dyDescent="0.35">
      <c r="B196" s="149"/>
      <c r="C196" s="149"/>
      <c r="D196" s="149"/>
      <c r="E196" s="149"/>
      <c r="F196" s="149"/>
      <c r="G196" s="153"/>
      <c r="H196" s="151"/>
      <c r="I196" s="151"/>
      <c r="J196" s="152"/>
      <c r="K196" s="152"/>
    </row>
    <row r="197" spans="2:11" ht="25" customHeight="1" x14ac:dyDescent="0.35">
      <c r="B197" s="149"/>
      <c r="C197" s="149"/>
      <c r="D197" s="149"/>
      <c r="E197" s="149"/>
      <c r="F197" s="149"/>
      <c r="G197" s="153"/>
      <c r="H197" s="151"/>
      <c r="I197" s="151"/>
      <c r="J197" s="152"/>
      <c r="K197" s="152"/>
    </row>
    <row r="198" spans="2:11" ht="25" customHeight="1" x14ac:dyDescent="0.35">
      <c r="B198" s="149"/>
      <c r="C198" s="149"/>
      <c r="D198" s="149"/>
      <c r="E198" s="149"/>
      <c r="F198" s="149"/>
      <c r="G198" s="153"/>
      <c r="H198" s="151"/>
      <c r="I198" s="151"/>
      <c r="J198" s="152"/>
      <c r="K198" s="152"/>
    </row>
    <row r="199" spans="2:11" ht="25" customHeight="1" x14ac:dyDescent="0.35">
      <c r="B199" s="149"/>
      <c r="C199" s="149"/>
      <c r="D199" s="149"/>
      <c r="E199" s="149"/>
      <c r="F199" s="149"/>
      <c r="G199" s="153"/>
      <c r="H199" s="151"/>
      <c r="I199" s="151"/>
      <c r="J199" s="152"/>
      <c r="K199" s="152"/>
    </row>
    <row r="200" spans="2:11" ht="25" customHeight="1" x14ac:dyDescent="0.35">
      <c r="B200" s="149"/>
      <c r="C200" s="149"/>
      <c r="D200" s="149"/>
      <c r="E200" s="149"/>
      <c r="F200" s="149"/>
      <c r="G200" s="153"/>
      <c r="H200" s="151"/>
      <c r="I200" s="151"/>
      <c r="J200" s="152"/>
      <c r="K200" s="152"/>
    </row>
    <row r="201" spans="2:11" ht="25" customHeight="1" x14ac:dyDescent="0.35">
      <c r="B201" s="149"/>
      <c r="C201" s="149"/>
      <c r="D201" s="149"/>
      <c r="E201" s="149"/>
      <c r="F201" s="149"/>
      <c r="G201" s="153"/>
      <c r="H201" s="151"/>
      <c r="I201" s="151"/>
      <c r="J201" s="152"/>
      <c r="K201" s="152"/>
    </row>
  </sheetData>
  <mergeCells count="2">
    <mergeCell ref="B2:D2"/>
    <mergeCell ref="E3:F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6</vt:i4>
      </vt:variant>
    </vt:vector>
  </HeadingPairs>
  <TitlesOfParts>
    <vt:vector size="30" baseType="lpstr">
      <vt:lpstr>Buildings - Govt</vt:lpstr>
      <vt:lpstr>Roads</vt:lpstr>
      <vt:lpstr>Airport runway &amp; taxiways</vt:lpstr>
      <vt:lpstr>Bridges </vt:lpstr>
      <vt:lpstr>Marine Ports, Wharfs or Jetties</vt:lpstr>
      <vt:lpstr>Sports Facilities</vt:lpstr>
      <vt:lpstr>Playground</vt:lpstr>
      <vt:lpstr>Coastal Protection</vt:lpstr>
      <vt:lpstr>Solid Waste Management</vt:lpstr>
      <vt:lpstr>Culverts</vt:lpstr>
      <vt:lpstr>Elec Fossil Fuel Generators</vt:lpstr>
      <vt:lpstr>Elec Solar Power Generation</vt:lpstr>
      <vt:lpstr>Elec Overhead Lines</vt:lpstr>
      <vt:lpstr>Elec - Power Transformers</vt:lpstr>
      <vt:lpstr>Elec - Switchgear</vt:lpstr>
      <vt:lpstr>Water Pumping Stations</vt:lpstr>
      <vt:lpstr>Water Pump Stns Kror and Arai</vt:lpstr>
      <vt:lpstr>Sewage Treatment Plant</vt:lpstr>
      <vt:lpstr>Telecom Towers</vt:lpstr>
      <vt:lpstr>Telecom Cables</vt:lpstr>
      <vt:lpstr>Telecom IDUs ODUS</vt:lpstr>
      <vt:lpstr>Asset Condition Ratings</vt:lpstr>
      <vt:lpstr>Asset Functional Ratings</vt:lpstr>
      <vt:lpstr>Validation Lists</vt:lpstr>
      <vt:lpstr>'Airport runway &amp; taxiways'!Print_Area</vt:lpstr>
      <vt:lpstr>'Bridges '!Print_Area</vt:lpstr>
      <vt:lpstr>'Buildings - Govt'!Print_Area</vt:lpstr>
      <vt:lpstr>'Coastal Protection'!Print_Area</vt:lpstr>
      <vt:lpstr>Culverts!Print_Area</vt:lpstr>
      <vt:lpstr>'Marine Ports, Wharfs or Jetties'!Print_Area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</dc:creator>
  <cp:lastModifiedBy>T6C</cp:lastModifiedBy>
  <cp:lastPrinted>2021-10-07T21:09:37Z</cp:lastPrinted>
  <dcterms:created xsi:type="dcterms:W3CDTF">2020-09-29T18:13:48Z</dcterms:created>
  <dcterms:modified xsi:type="dcterms:W3CDTF">2021-11-12T03:55:27Z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2021-11-12T03:54:39Z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59903e4d-e104-454b-ac0a-f6ef806b30b4</vt:lpwstr>
  </property>
  <property fmtid="{D5CDD505-2E9C-101B-9397-08002B2CF9AE}" pid="8" name="MSIP_Label_817d4574-7375-4d17-b29c-6e4c6df0fcb0_ContentBits">
    <vt:lpwstr>2</vt:lpwstr>
  </property>
</Properties>
</file>